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EXHW079856" sheetId="2" r:id="rId1"/>
  </sheets>
  <calcPr calcId="125725"/>
</workbook>
</file>

<file path=xl/calcChain.xml><?xml version="1.0" encoding="utf-8"?>
<calcChain xmlns="http://schemas.openxmlformats.org/spreadsheetml/2006/main">
  <c r="M158" i="2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<sst xmlns="http://schemas.openxmlformats.org/spreadsheetml/2006/main" count="783" uniqueCount="278">
  <si>
    <t>11-05-2022 -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</si>
  <si>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</si>
  <si>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</si>
  <si>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</si>
  <si>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</si>
  <si>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</si>
  <si>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</si>
  <si>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</si>
  <si>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</si>
  <si>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</si>
  <si>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</si>
  <si>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</si>
  <si>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</si>
  <si>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</si>
  <si>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</si>
  <si>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</si>
  <si>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</si>
  <si>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N</t>
  </si>
  <si>
    <t>LA FUTURA S.R.L.</t>
  </si>
  <si>
    <t>IT01373390382</t>
  </si>
  <si>
    <t>NOTA DI CREDITO ELETTRONICA ALLA FATTURA N.197</t>
  </si>
  <si>
    <t>2D9DG3</t>
  </si>
  <si>
    <t>SERENA SOC. COOP SOCIALE ONLUS</t>
  </si>
  <si>
    <t>IT00975280389</t>
  </si>
  <si>
    <t>NOTA DI ACCREDITO X FATELCONG.RETTA GENNAIO-APRILE UTENTE CSR AIRONE</t>
  </si>
  <si>
    <t>30U0ZF</t>
  </si>
  <si>
    <t>F</t>
  </si>
  <si>
    <t>MATERIALE VARIO</t>
  </si>
  <si>
    <t>EDIL BONDENO SNC DI LAPORTA MICHELE &amp; C</t>
  </si>
  <si>
    <t>IT01553200385</t>
  </si>
  <si>
    <t>ERRATA IMPORTO EMISSIONE FATTURA N. 15/2017 PER LAVORI PRESSO CENTRO 2000</t>
  </si>
  <si>
    <t>GTYW5N</t>
  </si>
  <si>
    <t>C.I.T. S.R.L. BENEA E BENASSI</t>
  </si>
  <si>
    <t>IT01491850382</t>
  </si>
  <si>
    <t>NOTA DI CREDITO A STORNO TOTALE FATTURA 35 MANUTENZIONE STRAORDINARIA PER ADEGUAMENTO IMPIANTO CENTRO 2000</t>
  </si>
  <si>
    <t>NOTA DI CREDITO A STORNO TOTALE FATTURA N 36 MANUTENZIONE STRAORDINARIA PALESTRA PILASTRI</t>
  </si>
  <si>
    <t>SOENERGY S.R.L.</t>
  </si>
  <si>
    <t>IT01565370382</t>
  </si>
  <si>
    <t>FORNITURA GAS PM OTT 2017</t>
  </si>
  <si>
    <t>5KZS24</t>
  </si>
  <si>
    <t>FORNITURA GAS CASA ARIOSTO OTT 2017</t>
  </si>
  <si>
    <t>RESIDENZA PER ANZIANI VILLA FENICE</t>
  </si>
  <si>
    <t>IT01913030381</t>
  </si>
  <si>
    <t>INTEGRAZIONI RETTA ALTRE CASE PROTETTE</t>
  </si>
  <si>
    <t>AUSER ASS. PER L'AUTOGESTIONE SERVIZI</t>
  </si>
  <si>
    <t>COPERTURE ASSICURATIVE 2017</t>
  </si>
  <si>
    <t>TURE MARIASTELLA</t>
  </si>
  <si>
    <t>TRUMST73A43L049D</t>
  </si>
  <si>
    <t>IT01612750388</t>
  </si>
  <si>
    <t>TARIFFA EX SCRITTURA PRIVATA INTER PARTES INIZIATA NEL 2015</t>
  </si>
  <si>
    <t>OK31AM</t>
  </si>
  <si>
    <t>FONDAZIONE FILIPPO MANTOVANI</t>
  </si>
  <si>
    <t>IT00131610388</t>
  </si>
  <si>
    <t>RETTA MENSILE</t>
  </si>
  <si>
    <t>ENEL SOLE S.R.L.</t>
  </si>
  <si>
    <t>IT15844561009</t>
  </si>
  <si>
    <t>RIFERIMENTO OF-10110165</t>
  </si>
  <si>
    <t>HJGB1Z</t>
  </si>
  <si>
    <t>LAVORO</t>
  </si>
  <si>
    <t>CIDAS COOP. SOCIALE A R.L. O.N.L.U.S.</t>
  </si>
  <si>
    <t>IT00463980383</t>
  </si>
  <si>
    <t>CONTRATTO DI SERVIZIO PRESTAZIONI SOCIO-SANITARIE EFFETTUATE PRESSO IL CENTRO RESIDENZIALE FIORANA DI ARGENTA MESE DI OTTOBRE 2017</t>
  </si>
  <si>
    <t>ENI S.P.A. ADFIN</t>
  </si>
  <si>
    <t>IT00905811006</t>
  </si>
  <si>
    <t>CARBURANTE MESE DI OTTOBRE 2017</t>
  </si>
  <si>
    <t>2OYZNC</t>
  </si>
  <si>
    <t>CARBURANT3E MESE DI OTTOBRE 2017</t>
  </si>
  <si>
    <t>MD07LT</t>
  </si>
  <si>
    <t>OT0AOW</t>
  </si>
  <si>
    <t>SOLIDARIETA' INTRAPRESA SOC.COOP.SOCIALE</t>
  </si>
  <si>
    <t>IT01913040406</t>
  </si>
  <si>
    <t>INTEGRAZIONE RETTA STRUTTURA</t>
  </si>
  <si>
    <t>GALA ENERGIA PULITA S.P.A.</t>
  </si>
  <si>
    <t>IT06832931007</t>
  </si>
  <si>
    <t>NOTA PER INSTALLAZIONE IMPIANTO</t>
  </si>
  <si>
    <t>INSTALLAZIONE NUOVO IMPIANTO</t>
  </si>
  <si>
    <t>S.S.D. PISCINE COPERTE BONDENO</t>
  </si>
  <si>
    <t>IT01952750386</t>
  </si>
  <si>
    <t>CICLO DI LEZIONI DI NUOTO RIVOLTE A STUDENTI DELLE PRIME CLASSI DELLA SCUOLA SECONDARIA DI PRIMO GRADO DI BONDENO</t>
  </si>
  <si>
    <t>QJCH5V</t>
  </si>
  <si>
    <t>SILLA SAS DI MATTEI &amp; C.</t>
  </si>
  <si>
    <t>IT00040220386</t>
  </si>
  <si>
    <t>SERRAMENTO ALLUM.TAGLIO FREDDO L.160XH.100 2A</t>
  </si>
  <si>
    <t>1G9PNT</t>
  </si>
  <si>
    <t>FORNITURA GAS PINACOTECA SET 2017</t>
  </si>
  <si>
    <t>FORNITURA GAS PM SET 2017</t>
  </si>
  <si>
    <t>FORNITURA GAS VVFF SET 2017</t>
  </si>
  <si>
    <t>FORNITURA GAS VV.FF. SET. 2017</t>
  </si>
  <si>
    <t>FORNITURA GAS SEDE ASS.NI SET 2017</t>
  </si>
  <si>
    <t>AZIENDA U.S.L. DI FERRARA</t>
  </si>
  <si>
    <t>IT01295960387</t>
  </si>
  <si>
    <t>FATTURA ISTIT VISITE FISCALI MAGGIO 2017</t>
  </si>
  <si>
    <t>2WQ9SN</t>
  </si>
  <si>
    <t>FATTURA ISTIT VISITE FISCALI APRILE</t>
  </si>
  <si>
    <t>ANNULLAMENTO NS.FATT. 249/E DEL 12/09/2017</t>
  </si>
  <si>
    <t>FATTURA ISTIT VISITE FISCALI APRILE 2017</t>
  </si>
  <si>
    <t>SACE FCT SPA</t>
  </si>
  <si>
    <t>IT06560010966</t>
  </si>
  <si>
    <t>STORNO INTERESSI RIT</t>
  </si>
  <si>
    <t>UFTUKP</t>
  </si>
  <si>
    <t>EDISON ENERGIA S.P.A</t>
  </si>
  <si>
    <t>IT08526440154</t>
  </si>
  <si>
    <t>FORNITURA EN.ELETTRICA CENTRO 2000 AGO 2017</t>
  </si>
  <si>
    <t>FORNITURA GAS MUNICIPIO AGO 2017</t>
  </si>
  <si>
    <t>FORNITURA GAS CENTRO 2000 AGO 2017</t>
  </si>
  <si>
    <t>FORNITURA GAS PALESTRA VIA MANZONI AGO 2017</t>
  </si>
  <si>
    <t>FORNITURA GAS OFFICINA COMUNALE AGO 2017</t>
  </si>
  <si>
    <t>FORNITURA GAS BIBLIOTECA AGO 2017</t>
  </si>
  <si>
    <t>.</t>
  </si>
  <si>
    <t>TIM - TELECOM ITALIA S.P.A.</t>
  </si>
  <si>
    <t>IT00488410010</t>
  </si>
  <si>
    <t>5BIM 2017</t>
  </si>
  <si>
    <t>FORNITURA GAS SCUOLA ELEMENTARE STELLATA LUG 2017</t>
  </si>
  <si>
    <t>BOTOLACEM. C/TELAIO FERRO 50X50 EST</t>
  </si>
  <si>
    <t>HERA S.P.A.</t>
  </si>
  <si>
    <t>IT03819031208</t>
  </si>
  <si>
    <t>FORNITURA SERVIZIO ACQUA MAG - GIU 2017 PALAZZO MOSTI PILASTRI</t>
  </si>
  <si>
    <t>FORNITURA SERVIZIO ACQUA MAG - GIU 2017 CENTRO PER L'IMPIEGO</t>
  </si>
  <si>
    <t>FORNITURA SERVIZIO ACQUA MAG - GIU 2017 VILLETTE RESIDENZA DONNE</t>
  </si>
  <si>
    <t>TRAFFIC TECNOLOGY S.P.A.</t>
  </si>
  <si>
    <t>IT03298520242</t>
  </si>
  <si>
    <t>CANONE VISTA RED LUGLIO 2017</t>
  </si>
  <si>
    <t>FORNITURA GAS EX CENTRO IMPIEGO GIU 2017</t>
  </si>
  <si>
    <t>FORNITURA GAS SERVIZI SOCIALI SEDE ASS.NI GIU 2017</t>
  </si>
  <si>
    <t>IN CAMMINO A R.L. COOPERATIVA SOCIALE</t>
  </si>
  <si>
    <t>IT00915090393</t>
  </si>
  <si>
    <t>PRESTAZIONI DI SERVIZIO DI ASSISTENZA DOMICILIARE</t>
  </si>
  <si>
    <t>FATTURAZIONE DELLA FORNITURA PASTI A DOMICILIO</t>
  </si>
  <si>
    <t>CADITOIACEM. C/TELAIO FERRO 50X50 EST.</t>
  </si>
  <si>
    <t>LA BORSA DI BO ETA BETA SOC. COOP ONLUS</t>
  </si>
  <si>
    <t>IT02693431203</t>
  </si>
  <si>
    <t>MATERIALE NATURALE PROGETTO "LA BORSA DI BO" PER NIDO COMUNALE PROGETTO: "VITA ALL'APERTO</t>
  </si>
  <si>
    <t>TECHNOTERMICA SNC DI TALMELLI &amp; C</t>
  </si>
  <si>
    <t>IT00469110381</t>
  </si>
  <si>
    <t>NUOVO PLESSO SCOLASTICO NELLA FRAZIONE DI SCORTICHINO - REALIZZAZIONE OPERE COMPLETAMENTO DI MITIGAZIONE IMPATTO ACUSTICO IMPIANTI TECNOLOGICI</t>
  </si>
  <si>
    <t>FOTO OTTICA GRECHI</t>
  </si>
  <si>
    <t>IT00871460382</t>
  </si>
  <si>
    <t>CORNICI 20X30</t>
  </si>
  <si>
    <t>FORCA BOSCARO MBA600 PANNELLO CASSERO H.50</t>
  </si>
  <si>
    <t>ANCORA SERVIZI SOCIETA' COOP. SOCIALE</t>
  </si>
  <si>
    <t>IT04201270370</t>
  </si>
  <si>
    <t>RESTAZIONI PER CONTROLLI GEOTECNICI RELATIVI ALLA COSTRUZIONE DELLA NUOVA STRADA DI COLLEGAMENTO CON PONTE BORGO SCALA- BONDENO CAPOLUOGO</t>
  </si>
  <si>
    <t>FORNITURA GAS PALESTRA VIA NAPOLEONICA APRILE 2017</t>
  </si>
  <si>
    <t>----------NON USARE--------ASS.VOL. SCUOLA MATERNA S.EUROSIA</t>
  </si>
  <si>
    <t>IT01265560381</t>
  </si>
  <si>
    <t>SERVIZIO DI FORNITURA PASTI ALLA SCUOLA PRIMARIA DI SCORTICHINO COME DA CONVENZIONENEL PERIODO DI MARZO 2017</t>
  </si>
  <si>
    <t>CEMENTO PTL 32,5 R ITALCEMENTI KG. 25NERTE -MISTO PER GETTO 0/15</t>
  </si>
  <si>
    <t>CONTRATTO DI SERVIZIO PRESTAZIONI SOCIO-SANITARIE EFFETTUATE PRESSO IL CENTRO RESIDENZIALE FIORANA DI ARGENTA COMUNE DI CODIGORO MESE DI MARZO 2017</t>
  </si>
  <si>
    <t>RICHIESTA DI ACCREDITO DI RIMBORSO SPESE PER ATTIVITA' SOCIALMENTE UTILI EFFETTUATE NEL MESE DI APRILE 2017</t>
  </si>
  <si>
    <t>IMP RISCALDAMENTO 31 GEN 2017</t>
  </si>
  <si>
    <t>FORNITURA SERVIZIO ACQUA</t>
  </si>
  <si>
    <t>PRESTAZIONI SOCIO-SANITARIE EFFETTUATE PRESSO IL CENTRO RESIDENZIALE FIORANAMESE DI FEBBRAIO 2017 .</t>
  </si>
  <si>
    <t>SERVIZIO ELETTRICO NAZIONALE SPA</t>
  </si>
  <si>
    <t>2BIM 2017 ADSL BIBLIOTECA NUMERO VECCHIO</t>
  </si>
  <si>
    <t>LABORATORI INGEGNERIA FERRARA S.R.L.</t>
  </si>
  <si>
    <t>IT01904060389</t>
  </si>
  <si>
    <t>LOTTO B - QUARTIERE DEL SOLE - BONDENO; PROVE DI CARICO STATICO E ASSISTENZA ALLA PROCEDURA DI CONTROLLO DI ACCETTAZIONE DEI MATERIALI DA COSTRUZIONE.</t>
  </si>
  <si>
    <t>TLP3QA</t>
  </si>
  <si>
    <t>GAS EX SCUOLA ELEMENTARE SCORTICHINO DIC 2016</t>
  </si>
  <si>
    <t>GAS EX SCUOLE ELEMENTARI SCORTICHINO DIC</t>
  </si>
  <si>
    <t>INDACO DI MATTEO MANTOVANI</t>
  </si>
  <si>
    <t>MNTMTT73E16B819V</t>
  </si>
  <si>
    <t>IT13185441006</t>
  </si>
  <si>
    <t>RESTYLING SITO POLIZIAMUNICIPALEALTOFERRARESE.IT</t>
  </si>
  <si>
    <t>iMARTINI srl</t>
  </si>
  <si>
    <t>IT01693760207</t>
  </si>
  <si>
    <t>CONTRATTO DI APPALTOREALIZZAZIONE DI ALLOGGI ERP / III LOTTOIMPIANTI MECCANICI ED ELETTRICI</t>
  </si>
  <si>
    <t>BALBO EMANUELA</t>
  </si>
  <si>
    <t>BLBMNL69S70L359M</t>
  </si>
  <si>
    <t>IT01225180296</t>
  </si>
  <si>
    <t>LIBRI SCOLASTICI</t>
  </si>
  <si>
    <t>E.S.A. SRL</t>
  </si>
  <si>
    <t>IT03246871200</t>
  </si>
  <si>
    <t>MANUTENZIONE STRAORDINARIA</t>
  </si>
  <si>
    <t>OPEN GROUP COOPERATIVA SOCIALE</t>
  </si>
  <si>
    <t>IT02410141200</t>
  </si>
  <si>
    <t>ATTIVITA DELLA PSICOLOGA DELLO SPORTELLO DI BONDENO E DEGLI INTERVENTI DI PREVENZIONE NEGLI ISTITUTI SCOLASTICI DEL DISTRETTO OVEST PERIODO LUGLIO-NOVEMBRE 2016</t>
  </si>
  <si>
    <t>ENEL ENERGIA SPA - FORNITURA GAS</t>
  </si>
  <si>
    <t>IT06655971007</t>
  </si>
  <si>
    <t>AXIA SRL</t>
  </si>
  <si>
    <t>IT02093200356</t>
  </si>
  <si>
    <t>ACERLAVORI DI REALIZZAZIONE DI ALLOGGI DI EDILIZIA RESIDENZIALE PUBBLICA III LOTTO</t>
  </si>
  <si>
    <t>TRASPORTO CONGUAGLI MESI PRECEDENTI</t>
  </si>
  <si>
    <t>FONDAZIONE BRAGHINI ROSSETTI</t>
  </si>
  <si>
    <t>IT00395350382</t>
  </si>
  <si>
    <t>INTEGRAZIONE RETTA</t>
  </si>
  <si>
    <t>FERTEC DI BARAVELLI CLAUDIO</t>
  </si>
  <si>
    <t>IT01697740387</t>
  </si>
  <si>
    <t>FORNITURA RIPIANI INTERNI AI CARRELLI PER IL RISCHIO IDRICO PER STOCCAGGIO MATERIALI</t>
  </si>
  <si>
    <t>ASSOCIAZIONE TARTUFAI BONDENO AL RAMIOL</t>
  </si>
  <si>
    <t>IT01623130380</t>
  </si>
  <si>
    <t>LIQ. CONTRIBUTO PER REALIZZAZIONE SAGRA DEL TARTUFO 2016 - 70 PER CENTO</t>
  </si>
  <si>
    <t>GAS ASS.NE ANPI CONG A AGO 2016</t>
  </si>
  <si>
    <t>GAS ASS.NE ANPI SETT 2016</t>
  </si>
  <si>
    <t>GAS OFFICINA COMUNALE CONG A AGO 2016</t>
  </si>
  <si>
    <t>GAS VV.FF. CONGUAGLIO A AGOSTO 2016</t>
  </si>
  <si>
    <t>GAS ASS.NE ANPI SETT2016</t>
  </si>
  <si>
    <t>GAS EX CENTRO IMPIEGO SETT.2016</t>
  </si>
  <si>
    <t>GAS SERVIZI SOCIALI - SEDE ASS.NI SETT.2016</t>
  </si>
  <si>
    <t>GAS POLIZIA MUNICIPALE SETT 2016</t>
  </si>
  <si>
    <t>GAS PALESTRA MANZONI SETT 2016</t>
  </si>
  <si>
    <t>GAS MUSEI E MOSTRE SETT 2016</t>
  </si>
  <si>
    <t>TELECOM 6^BIM 2016 CENTRALINO SCUOLA MEDIA</t>
  </si>
  <si>
    <t>TELECOM 6^BIM 2016 SEGRETERIA SCUOLA ELEMENTARE BONDENO</t>
  </si>
  <si>
    <t>TELEFONIA FISSA SCUOLA ELEMENTARE BONDENO ADSL 5^ BIM 2016</t>
  </si>
  <si>
    <t>MACOSER SRL UNIPERSONALE</t>
  </si>
  <si>
    <t>IT06219980965</t>
  </si>
  <si>
    <t>APPALTO REALIZZAZIONE NR.9 ALLOGGI EDILIZIA PUBBLICA COMUNE BONDENO II PALAZZINA CONTRATTO 19196 ATTURAZIONE 6 SAL</t>
  </si>
  <si>
    <t>TIM - TELECOM ITALIA SPA</t>
  </si>
  <si>
    <t>4BIM 2015</t>
  </si>
  <si>
    <t>5BIM 2015</t>
  </si>
  <si>
    <t>6BIM 2015</t>
  </si>
  <si>
    <t>1BIM 2016</t>
  </si>
  <si>
    <t>2BIM 2016</t>
  </si>
  <si>
    <t>3BIM 2016</t>
  </si>
  <si>
    <t>4BIM 2016</t>
  </si>
  <si>
    <t>MISCO SYSTEMAX ITALY S.R.L.</t>
  </si>
  <si>
    <t>IT08376630151</t>
  </si>
  <si>
    <t>HP 8100 ELITE CORE I5 650/250GB/4GB/DVD/W7P/SFF</t>
  </si>
  <si>
    <t>XXGEMW</t>
  </si>
  <si>
    <t>CONTRATTO DI SERVIZIO PRESTAZIONI SOCIO-SANITARIE EFFETTUATE PRESSO IL CENTRO RESIDENZIALE FIORANA MESE DI GIUGNO 2016</t>
  </si>
  <si>
    <t>COPERCHIO CEM. BOTOLA 70X70 EST. SCISSIONE DEI PAGAMENTI AI SENSI ART.17-TER DPR 633/1972 QUANTITA': 1</t>
  </si>
  <si>
    <t>4^ BIMESTRE 2016, ADSL SCUOLA ELEMENTARE VECCHIA</t>
  </si>
  <si>
    <t>3^ BIMESTRE 2016 DSL SCUOLA ELEMENTARE</t>
  </si>
  <si>
    <t>HERA COMM. s.p.a.</t>
  </si>
  <si>
    <t>FORNITURA SERVIZIO GAS</t>
  </si>
  <si>
    <t>APPALTO PER LAVORI DI REALIZZAZIONE ALLOGGI</t>
  </si>
  <si>
    <t>NOTA ACCR. CLIENTE BONDENO</t>
  </si>
  <si>
    <t>FT SPLIT PAYMENT EX ART.17-TER DPR 633/72</t>
  </si>
  <si>
    <t>COOP ESTENSE SC A RL</t>
  </si>
  <si>
    <t>IT00162660369</t>
  </si>
  <si>
    <t>CEDOLE LIBRARIE SMILEYS</t>
  </si>
  <si>
    <t>1^ BIM 2016 ADSL SCUOLA ELEMENTARE BONDENO</t>
  </si>
  <si>
    <t>AIR LIQUIDE ITALIA S.R.L.</t>
  </si>
  <si>
    <t>IT03270040961</t>
  </si>
  <si>
    <t>RIF. FATTURA 1920001804 DEL 31/10/2015</t>
  </si>
  <si>
    <t>ENEL ENERGIA S.P.A. (PER EN. ELETTRICA)</t>
  </si>
  <si>
    <t>CONGUAGLIO DA APRILE 2013 ADA AGOSTO 2013</t>
  </si>
  <si>
    <t>ENEL DISTRIBUZIONE SPA ZONA DI FERRARA</t>
  </si>
  <si>
    <t>IT05779711000</t>
  </si>
  <si>
    <t>CONTRIBUTI A FORFAIT DA CONNESSIONI BT</t>
  </si>
  <si>
    <t>MAGGIOLI S.P.A.</t>
  </si>
  <si>
    <t>IT02066400405</t>
  </si>
  <si>
    <t>VIGILARE SULLA STRADA - ANNUALE</t>
  </si>
  <si>
    <t>CARTOLIBRERIA EXCELSIOR DI REAMI</t>
  </si>
  <si>
    <t>IT02073190361</t>
  </si>
  <si>
    <t>TESTI SCOLASTICI</t>
  </si>
  <si>
    <t>APPALTO PER LAVORI DI REALIZZAZIONE DI 9 ALLOGGI DI EDILIZIA RESIDENZIALE PUBBLICA NEL COMUNE DI BONDENO</t>
  </si>
  <si>
    <t>SERVIZIO TELEFONIA MFISSA 6^ BIMESTRE 2015, ADSL BIBLIOTECA</t>
  </si>
  <si>
    <t>TELEFONIA FISSA 6^ BIMESTRE 2015, ADSL SCUOLA ELEMENTARE</t>
  </si>
  <si>
    <t>LIBERTY 2 MB BMG 1024* 16 LUGLIO 15 - 31 OTTOBRE 15</t>
  </si>
  <si>
    <t>ALICE BUSINESS 2M LARGE 512 F* 14 LUGLIO 15 - 31 OTTOBRE 15</t>
  </si>
  <si>
    <t>PADANIA SERVICE SOC. COOP.</t>
  </si>
  <si>
    <t>IT00049900293</t>
  </si>
  <si>
    <t>NOTA DI CREDITO SPLIT PAYMENT</t>
  </si>
  <si>
    <t>GENERAZIONI SOC. COOP. SOCIALE ONLUS</t>
  </si>
  <si>
    <t>IT02690880402</t>
  </si>
  <si>
    <t>SERVIZIO DI MANTENIMENTO E INSERIMENTO EDUCATUVO RELATIVO AL MESE DI AGOSTO 2015</t>
  </si>
  <si>
    <t>UNIVERSITA' DI FE DIP.FISICA -SCIENZE T.</t>
  </si>
  <si>
    <t>IT00434690384</t>
  </si>
  <si>
    <t>VALUTAZIONE DEL RISCHIO SISMICO LOCALE NEL TERRITORIO DELLA PROVINCIA DI FERRARA</t>
  </si>
  <si>
    <t>C.&amp; C.IDROTERMICA CONDIZIONAMENTO</t>
  </si>
  <si>
    <t>IT00160590386</t>
  </si>
  <si>
    <t>MANUTENZIONE IMPIANTI TERMICI COMUNALI PERIODO DAL 1/1/15 AL 5/4/15, PALESTRE</t>
  </si>
  <si>
    <t>MAGGIOLI S.P.A.------------NON USARE</t>
  </si>
  <si>
    <t>FATTURA ART.74</t>
  </si>
  <si>
    <t>SYSTEM &amp; TECNOLOGY GROUP</t>
  </si>
  <si>
    <t>QRTGNN75H04C978R</t>
  </si>
  <si>
    <t>IT02614400980</t>
  </si>
  <si>
    <t>FORNITURA GAS SERVIZI ASSISTENZIALI</t>
  </si>
  <si>
    <t>FORNITURA GAS VILLETTE USL VIA FERMI 40</t>
  </si>
  <si>
    <t>GAS VILLETTE USL VIA FERMI 40</t>
  </si>
  <si>
    <t>GAS VILLETTE VIA FERMI 40</t>
  </si>
  <si>
    <t>FATTURAZIONE RETTE PER DEGENZA IN CASA PROTETTA QUOTA A CARICO DEL COMUNE DI BONDENO GG 31 DI PRESENZA</t>
  </si>
  <si>
    <t>FORNITURA SERVIZIO ACQUA PALESTRA SCUOLA MEDIA MAR 2018</t>
  </si>
  <si>
    <t>FORNITURA SERVIZIO ACQUA FONTANA MAR 2018</t>
  </si>
  <si>
    <t>FATTURA VENDITA BONDENO</t>
  </si>
  <si>
    <t>FORNITURA EN. GAS DICEMBRE 2014 IAL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</si>
</sst>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05E9A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horizontal="right" vertical="center"/>
    </xf>
    <xf numFmtId="21" fontId="18" fillId="0" borderId="10" xfId="0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4" fontId="0" fillId="0" borderId="0" xfId="0" applyNumberFormat="1"/>
    <xf numFmtId="4" fontId="0" fillId="0" borderId="10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showGridLines="0" tabSelected="1" topLeftCell="E119" workbookViewId="0">
      <selection activeCell="M158" sqref="M158"/>
    </sheetView>
  </sheetViews>
  <sheetFormatPr defaultRowHeight="15"/>
  <cols>
    <col min="1" max="1" width="15.5703125" bestFit="1" customWidth="1"/>
    <col min="2" max="2" width="15.7109375" bestFit="1" customWidth="1"/>
    <col min="3" max="3" width="19.140625" bestFit="1" customWidth="1"/>
    <col min="4" max="4" width="16.28515625" bestFit="1" customWidth="1"/>
    <col min="5" max="5" width="24.28515625" bestFit="1" customWidth="1"/>
    <col min="6" max="6" width="27.7109375" bestFit="1" customWidth="1"/>
    <col min="7" max="7" width="18.42578125" bestFit="1" customWidth="1"/>
    <col min="8" max="8" width="36.5703125" bestFit="1" customWidth="1"/>
    <col min="9" max="9" width="19.5703125" bestFit="1" customWidth="1"/>
    <col min="10" max="10" width="13.7109375" bestFit="1" customWidth="1"/>
    <col min="11" max="11" width="36.5703125" bestFit="1" customWidth="1"/>
    <col min="12" max="12" width="13.140625" bestFit="1" customWidth="1"/>
    <col min="13" max="13" width="15.42578125" bestFit="1" customWidth="1"/>
    <col min="14" max="14" width="13.5703125" bestFit="1" customWidth="1"/>
    <col min="15" max="15" width="15.5703125" bestFit="1" customWidth="1"/>
    <col min="16" max="16" width="18.5703125" bestFit="1" customWidth="1"/>
  </cols>
  <sheetData>
    <row r="1" spans="1:16">
      <c r="A1" s="1" t="s">
        <v>0</v>
      </c>
      <c r="B1" s="2">
        <v>0.45159722222222221</v>
      </c>
    </row>
    <row r="2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>
      <c r="A3" s="4" t="s">
        <v>17</v>
      </c>
      <c r="B3" s="5">
        <v>43100</v>
      </c>
      <c r="C3" s="4" t="str">
        <f>"206/EL"</f>
        <v>206/EL</v>
      </c>
      <c r="D3" s="4">
        <v>93874262</v>
      </c>
      <c r="E3" s="5">
        <v>43132</v>
      </c>
      <c r="F3" s="4">
        <v>535</v>
      </c>
      <c r="G3" s="4">
        <v>2456</v>
      </c>
      <c r="H3" s="4" t="s">
        <v>18</v>
      </c>
      <c r="I3" s="4">
        <v>1373390382</v>
      </c>
      <c r="J3" s="4" t="s">
        <v>19</v>
      </c>
      <c r="K3" s="4" t="s">
        <v>20</v>
      </c>
      <c r="L3" s="7">
        <v>-2800</v>
      </c>
      <c r="M3" s="7">
        <v>-2800</v>
      </c>
      <c r="N3" s="4"/>
      <c r="O3" s="5">
        <v>43139</v>
      </c>
      <c r="P3" s="4" t="s">
        <v>21</v>
      </c>
    </row>
    <row r="4" spans="1:16">
      <c r="A4" s="4" t="s">
        <v>17</v>
      </c>
      <c r="B4" s="5">
        <v>43096</v>
      </c>
      <c r="C4" s="4" t="str">
        <f>"611/PA"</f>
        <v>611/PA</v>
      </c>
      <c r="D4" s="4">
        <v>90799087</v>
      </c>
      <c r="E4" s="5">
        <v>43098</v>
      </c>
      <c r="F4" s="4">
        <v>6059</v>
      </c>
      <c r="G4" s="4">
        <v>3520</v>
      </c>
      <c r="H4" s="4" t="s">
        <v>22</v>
      </c>
      <c r="I4" s="4">
        <v>975280389</v>
      </c>
      <c r="J4" s="4" t="s">
        <v>23</v>
      </c>
      <c r="K4" s="4" t="s">
        <v>24</v>
      </c>
      <c r="L4" s="4">
        <v>-2.44</v>
      </c>
      <c r="M4" s="4">
        <v>-2.44</v>
      </c>
      <c r="N4" s="4"/>
      <c r="O4" s="5">
        <v>43118</v>
      </c>
      <c r="P4" s="4" t="s">
        <v>25</v>
      </c>
    </row>
    <row r="5" spans="1:16">
      <c r="A5" s="4" t="s">
        <v>26</v>
      </c>
      <c r="B5" s="5">
        <v>43092</v>
      </c>
      <c r="C5" s="4" t="str">
        <f>"197/EL"</f>
        <v>197/EL</v>
      </c>
      <c r="D5" s="4">
        <v>91340886</v>
      </c>
      <c r="E5" s="5">
        <v>43109</v>
      </c>
      <c r="F5" s="4">
        <v>108</v>
      </c>
      <c r="G5" s="4">
        <v>2456</v>
      </c>
      <c r="H5" s="4" t="s">
        <v>18</v>
      </c>
      <c r="I5" s="4">
        <v>1373390382</v>
      </c>
      <c r="J5" s="4" t="s">
        <v>19</v>
      </c>
      <c r="K5" s="4" t="s">
        <v>27</v>
      </c>
      <c r="L5" s="7">
        <v>2800</v>
      </c>
      <c r="M5" s="7">
        <v>2800</v>
      </c>
      <c r="N5" s="4"/>
      <c r="O5" s="5">
        <v>43139</v>
      </c>
      <c r="P5" s="4" t="s">
        <v>21</v>
      </c>
    </row>
    <row r="6" spans="1:16">
      <c r="A6" s="4" t="s">
        <v>17</v>
      </c>
      <c r="B6" s="5">
        <v>43090</v>
      </c>
      <c r="C6" s="4" t="str">
        <f>"1/2017"</f>
        <v>1/2017</v>
      </c>
      <c r="D6" s="4">
        <v>90523826</v>
      </c>
      <c r="E6" s="5">
        <v>43104</v>
      </c>
      <c r="F6" s="4">
        <v>39</v>
      </c>
      <c r="G6" s="4">
        <v>4251</v>
      </c>
      <c r="H6" s="4" t="s">
        <v>28</v>
      </c>
      <c r="I6" s="4">
        <v>1553200385</v>
      </c>
      <c r="J6" s="4" t="s">
        <v>29</v>
      </c>
      <c r="K6" s="4" t="s">
        <v>30</v>
      </c>
      <c r="L6" s="7">
        <v>-4465.2</v>
      </c>
      <c r="M6" s="7">
        <v>-4465.2</v>
      </c>
      <c r="N6" s="4"/>
      <c r="O6" s="5">
        <v>43115</v>
      </c>
      <c r="P6" s="4" t="s">
        <v>31</v>
      </c>
    </row>
    <row r="7" spans="1:16">
      <c r="A7" s="4" t="s">
        <v>17</v>
      </c>
      <c r="B7" s="5">
        <v>43083</v>
      </c>
      <c r="C7" s="4" t="str">
        <f>"FATTPA 37_17"</f>
        <v>FATTPA 37_17</v>
      </c>
      <c r="D7" s="4">
        <v>89789478</v>
      </c>
      <c r="E7" s="5">
        <v>43087</v>
      </c>
      <c r="F7" s="4">
        <v>5850</v>
      </c>
      <c r="G7" s="4">
        <v>3790</v>
      </c>
      <c r="H7" s="4" t="s">
        <v>32</v>
      </c>
      <c r="I7" s="4">
        <v>1491850382</v>
      </c>
      <c r="J7" s="4" t="s">
        <v>33</v>
      </c>
      <c r="K7" s="4" t="s">
        <v>34</v>
      </c>
      <c r="L7" s="7">
        <v>-10418.799999999999</v>
      </c>
      <c r="M7" s="7">
        <v>-10418.799999999999</v>
      </c>
      <c r="N7" s="4"/>
      <c r="O7" s="5">
        <v>43105</v>
      </c>
      <c r="P7" s="4" t="s">
        <v>31</v>
      </c>
    </row>
    <row r="8" spans="1:16">
      <c r="A8" s="4" t="s">
        <v>17</v>
      </c>
      <c r="B8" s="5">
        <v>43083</v>
      </c>
      <c r="C8" s="4" t="str">
        <f>"FATTPA 38_17"</f>
        <v>FATTPA 38_17</v>
      </c>
      <c r="D8" s="4">
        <v>89789486</v>
      </c>
      <c r="E8" s="5">
        <v>43087</v>
      </c>
      <c r="F8" s="4">
        <v>5849</v>
      </c>
      <c r="G8" s="4">
        <v>3790</v>
      </c>
      <c r="H8" s="4" t="s">
        <v>32</v>
      </c>
      <c r="I8" s="4">
        <v>1491850382</v>
      </c>
      <c r="J8" s="4" t="s">
        <v>33</v>
      </c>
      <c r="K8" s="4" t="s">
        <v>35</v>
      </c>
      <c r="L8" s="7">
        <v>-2173.06</v>
      </c>
      <c r="M8" s="7">
        <v>-2173.06</v>
      </c>
      <c r="N8" s="4"/>
      <c r="O8" s="5">
        <v>43105</v>
      </c>
      <c r="P8" s="4" t="s">
        <v>31</v>
      </c>
    </row>
    <row r="9" spans="1:16">
      <c r="A9" s="4" t="s">
        <v>17</v>
      </c>
      <c r="B9" s="5">
        <v>43061</v>
      </c>
      <c r="C9" s="4" t="str">
        <f>"171220464"</f>
        <v>171220464</v>
      </c>
      <c r="D9" s="4">
        <v>87892894</v>
      </c>
      <c r="E9" s="5">
        <v>43074</v>
      </c>
      <c r="F9" s="4">
        <v>5631</v>
      </c>
      <c r="G9" s="4">
        <v>107435</v>
      </c>
      <c r="H9" s="4" t="s">
        <v>36</v>
      </c>
      <c r="I9" s="4">
        <v>1565370382</v>
      </c>
      <c r="J9" s="4" t="s">
        <v>37</v>
      </c>
      <c r="K9" s="4" t="s">
        <v>38</v>
      </c>
      <c r="L9" s="4">
        <v>-119.63</v>
      </c>
      <c r="M9" s="4">
        <v>-119.63</v>
      </c>
      <c r="N9" s="4"/>
      <c r="O9" s="5">
        <v>43137</v>
      </c>
      <c r="P9" s="4" t="s">
        <v>39</v>
      </c>
    </row>
    <row r="10" spans="1:16">
      <c r="A10" s="4" t="s">
        <v>17</v>
      </c>
      <c r="B10" s="5">
        <v>43061</v>
      </c>
      <c r="C10" s="4" t="str">
        <f>"171220466"</f>
        <v>171220466</v>
      </c>
      <c r="D10" s="4">
        <v>87892889</v>
      </c>
      <c r="E10" s="5">
        <v>43074</v>
      </c>
      <c r="F10" s="4">
        <v>5633</v>
      </c>
      <c r="G10" s="4">
        <v>107435</v>
      </c>
      <c r="H10" s="4" t="s">
        <v>36</v>
      </c>
      <c r="I10" s="4">
        <v>1565370382</v>
      </c>
      <c r="J10" s="4" t="s">
        <v>37</v>
      </c>
      <c r="K10" s="4" t="s">
        <v>40</v>
      </c>
      <c r="L10" s="4">
        <v>-742.11</v>
      </c>
      <c r="M10" s="4">
        <v>-742.11</v>
      </c>
      <c r="N10" s="4"/>
      <c r="O10" s="5">
        <v>43137</v>
      </c>
      <c r="P10" s="4" t="s">
        <v>39</v>
      </c>
    </row>
    <row r="11" spans="1:16">
      <c r="A11" s="4" t="s">
        <v>26</v>
      </c>
      <c r="B11" s="5">
        <v>43054</v>
      </c>
      <c r="C11" s="4" t="str">
        <f>"1/E"</f>
        <v>1/E</v>
      </c>
      <c r="D11" s="4">
        <v>87736799</v>
      </c>
      <c r="E11" s="5">
        <v>43080</v>
      </c>
      <c r="F11" s="4">
        <v>5694</v>
      </c>
      <c r="G11" s="4">
        <v>106745</v>
      </c>
      <c r="H11" s="4" t="s">
        <v>41</v>
      </c>
      <c r="I11" s="4">
        <v>1913030381</v>
      </c>
      <c r="J11" s="4" t="s">
        <v>42</v>
      </c>
      <c r="K11" s="4" t="s">
        <v>43</v>
      </c>
      <c r="L11" s="7">
        <v>6114.94</v>
      </c>
      <c r="M11" s="7">
        <v>6114.94</v>
      </c>
      <c r="N11" s="5">
        <v>43093</v>
      </c>
      <c r="O11" s="5">
        <v>43174</v>
      </c>
      <c r="P11" s="4" t="s">
        <v>25</v>
      </c>
    </row>
    <row r="12" spans="1:16">
      <c r="A12" s="4" t="s">
        <v>26</v>
      </c>
      <c r="B12" s="5">
        <v>43053</v>
      </c>
      <c r="C12" s="4" t="str">
        <f>"416 / 2017"</f>
        <v>416 / 2017</v>
      </c>
      <c r="D12" s="4">
        <v>0</v>
      </c>
      <c r="E12" s="5">
        <v>43082</v>
      </c>
      <c r="F12" s="4">
        <v>5790</v>
      </c>
      <c r="G12" s="4">
        <v>353</v>
      </c>
      <c r="H12" s="4" t="s">
        <v>44</v>
      </c>
      <c r="I12" s="4">
        <v>93016880382</v>
      </c>
      <c r="J12" s="4"/>
      <c r="K12" s="4" t="s">
        <v>45</v>
      </c>
      <c r="L12" s="4">
        <v>978.14</v>
      </c>
      <c r="M12" s="4">
        <v>978.14</v>
      </c>
      <c r="N12" s="5">
        <v>42794</v>
      </c>
      <c r="O12" s="5">
        <v>43122</v>
      </c>
      <c r="P12" s="4"/>
    </row>
    <row r="13" spans="1:16">
      <c r="A13" s="4" t="s">
        <v>26</v>
      </c>
      <c r="B13" s="5">
        <v>43053</v>
      </c>
      <c r="C13" s="4" t="str">
        <f>"000001-2017-ELETTRO"</f>
        <v>000001-2017-ELETTRO</v>
      </c>
      <c r="D13" s="4">
        <v>87448236</v>
      </c>
      <c r="E13" s="5">
        <v>43060</v>
      </c>
      <c r="F13" s="4">
        <v>5103</v>
      </c>
      <c r="G13" s="4">
        <v>106943</v>
      </c>
      <c r="H13" s="4" t="s">
        <v>46</v>
      </c>
      <c r="I13" s="4" t="s">
        <v>47</v>
      </c>
      <c r="J13" s="4" t="s">
        <v>48</v>
      </c>
      <c r="K13" s="4" t="s">
        <v>49</v>
      </c>
      <c r="L13" s="7">
        <v>2035.47</v>
      </c>
      <c r="M13" s="7">
        <v>1347.57</v>
      </c>
      <c r="N13" s="5">
        <v>43090</v>
      </c>
      <c r="O13" s="5">
        <v>43112</v>
      </c>
      <c r="P13" s="4" t="s">
        <v>50</v>
      </c>
    </row>
    <row r="14" spans="1:16">
      <c r="A14" s="4" t="s">
        <v>26</v>
      </c>
      <c r="B14" s="5">
        <v>43042</v>
      </c>
      <c r="C14" s="4" t="str">
        <f>"258/E"</f>
        <v>258/E</v>
      </c>
      <c r="D14" s="4">
        <v>85828946</v>
      </c>
      <c r="E14" s="5">
        <v>43059</v>
      </c>
      <c r="F14" s="4">
        <v>5005</v>
      </c>
      <c r="G14" s="4">
        <v>4673</v>
      </c>
      <c r="H14" s="4" t="s">
        <v>51</v>
      </c>
      <c r="I14" s="4"/>
      <c r="J14" s="4" t="s">
        <v>52</v>
      </c>
      <c r="K14" s="4" t="s">
        <v>53</v>
      </c>
      <c r="L14" s="4">
        <v>549.77</v>
      </c>
      <c r="M14" s="4">
        <v>549.77</v>
      </c>
      <c r="N14" s="5">
        <v>43072</v>
      </c>
      <c r="O14" s="5">
        <v>43175</v>
      </c>
      <c r="P14" s="4" t="s">
        <v>25</v>
      </c>
    </row>
    <row r="15" spans="1:16">
      <c r="A15" s="4" t="s">
        <v>26</v>
      </c>
      <c r="B15" s="5">
        <v>43039</v>
      </c>
      <c r="C15" s="4" t="str">
        <f>"1730056932"</f>
        <v>1730056932</v>
      </c>
      <c r="D15" s="4">
        <v>85700167</v>
      </c>
      <c r="E15" s="5">
        <v>43059</v>
      </c>
      <c r="F15" s="4">
        <v>5004</v>
      </c>
      <c r="G15" s="4">
        <v>3066</v>
      </c>
      <c r="H15" s="4" t="s">
        <v>54</v>
      </c>
      <c r="I15" s="4">
        <v>2322600541</v>
      </c>
      <c r="J15" s="4" t="s">
        <v>55</v>
      </c>
      <c r="K15" s="4" t="s">
        <v>56</v>
      </c>
      <c r="L15" s="7">
        <v>2811.2</v>
      </c>
      <c r="M15" s="7">
        <v>2304.2600000000002</v>
      </c>
      <c r="N15" s="5">
        <v>43099</v>
      </c>
      <c r="O15" s="5">
        <v>43146</v>
      </c>
      <c r="P15" s="4" t="s">
        <v>57</v>
      </c>
    </row>
    <row r="16" spans="1:16">
      <c r="A16" s="4" t="s">
        <v>26</v>
      </c>
      <c r="B16" s="5">
        <v>43039</v>
      </c>
      <c r="C16" s="4" t="str">
        <f>"1730057060"</f>
        <v>1730057060</v>
      </c>
      <c r="D16" s="4">
        <v>85700449</v>
      </c>
      <c r="E16" s="5">
        <v>43059</v>
      </c>
      <c r="F16" s="4">
        <v>5003</v>
      </c>
      <c r="G16" s="4">
        <v>3066</v>
      </c>
      <c r="H16" s="4" t="s">
        <v>54</v>
      </c>
      <c r="I16" s="4">
        <v>2322600541</v>
      </c>
      <c r="J16" s="4" t="s">
        <v>55</v>
      </c>
      <c r="K16" s="4" t="s">
        <v>58</v>
      </c>
      <c r="L16" s="7">
        <v>3533.84</v>
      </c>
      <c r="M16" s="7">
        <v>3212.58</v>
      </c>
      <c r="N16" s="5">
        <v>43099</v>
      </c>
      <c r="O16" s="5">
        <v>43146</v>
      </c>
      <c r="P16" s="4" t="s">
        <v>57</v>
      </c>
    </row>
    <row r="17" spans="1:16">
      <c r="A17" s="4" t="s">
        <v>26</v>
      </c>
      <c r="B17" s="5">
        <v>43039</v>
      </c>
      <c r="C17" s="4" t="str">
        <f>"1730057061"</f>
        <v>1730057061</v>
      </c>
      <c r="D17" s="4">
        <v>85700451</v>
      </c>
      <c r="E17" s="5">
        <v>43059</v>
      </c>
      <c r="F17" s="4">
        <v>5002</v>
      </c>
      <c r="G17" s="4">
        <v>3066</v>
      </c>
      <c r="H17" s="4" t="s">
        <v>54</v>
      </c>
      <c r="I17" s="4">
        <v>2322600541</v>
      </c>
      <c r="J17" s="4" t="s">
        <v>55</v>
      </c>
      <c r="K17" s="4" t="s">
        <v>58</v>
      </c>
      <c r="L17" s="7">
        <v>2555.8000000000002</v>
      </c>
      <c r="M17" s="7">
        <v>2323.4499999999998</v>
      </c>
      <c r="N17" s="5">
        <v>43099</v>
      </c>
      <c r="O17" s="5">
        <v>43146</v>
      </c>
      <c r="P17" s="4" t="s">
        <v>57</v>
      </c>
    </row>
    <row r="18" spans="1:16">
      <c r="A18" s="4" t="s">
        <v>26</v>
      </c>
      <c r="B18" s="5">
        <v>43039</v>
      </c>
      <c r="C18" s="4" t="str">
        <f>"1730057074"</f>
        <v>1730057074</v>
      </c>
      <c r="D18" s="4">
        <v>85701531</v>
      </c>
      <c r="E18" s="5">
        <v>43059</v>
      </c>
      <c r="F18" s="4">
        <v>5001</v>
      </c>
      <c r="G18" s="4">
        <v>3066</v>
      </c>
      <c r="H18" s="4" t="s">
        <v>54</v>
      </c>
      <c r="I18" s="4">
        <v>2322600541</v>
      </c>
      <c r="J18" s="4" t="s">
        <v>55</v>
      </c>
      <c r="K18" s="4" t="s">
        <v>58</v>
      </c>
      <c r="L18" s="7">
        <v>8267.18</v>
      </c>
      <c r="M18" s="7">
        <v>7515.62</v>
      </c>
      <c r="N18" s="5">
        <v>43099</v>
      </c>
      <c r="O18" s="5">
        <v>43146</v>
      </c>
      <c r="P18" s="4" t="s">
        <v>57</v>
      </c>
    </row>
    <row r="19" spans="1:16">
      <c r="A19" s="4" t="s">
        <v>26</v>
      </c>
      <c r="B19" s="5">
        <v>43039</v>
      </c>
      <c r="C19" s="4" t="str">
        <f>"1715 /FE"</f>
        <v>1715 /FE</v>
      </c>
      <c r="D19" s="4">
        <v>87699421</v>
      </c>
      <c r="E19" s="5">
        <v>43080</v>
      </c>
      <c r="F19" s="4">
        <v>5695</v>
      </c>
      <c r="G19" s="4">
        <v>4003</v>
      </c>
      <c r="H19" s="4" t="s">
        <v>59</v>
      </c>
      <c r="I19" s="4">
        <v>463980383</v>
      </c>
      <c r="J19" s="4" t="s">
        <v>60</v>
      </c>
      <c r="K19" s="4" t="s">
        <v>61</v>
      </c>
      <c r="L19" s="7">
        <v>1810.6</v>
      </c>
      <c r="M19" s="7">
        <v>1740.96</v>
      </c>
      <c r="N19" s="5">
        <v>43092</v>
      </c>
      <c r="O19" s="5">
        <v>43574</v>
      </c>
      <c r="P19" s="4" t="s">
        <v>25</v>
      </c>
    </row>
    <row r="20" spans="1:16">
      <c r="A20" s="4" t="s">
        <v>26</v>
      </c>
      <c r="B20" s="5">
        <v>43039</v>
      </c>
      <c r="C20" s="4" t="str">
        <f>"29950642"</f>
        <v>29950642</v>
      </c>
      <c r="D20" s="4">
        <v>86039085</v>
      </c>
      <c r="E20" s="5">
        <v>43060</v>
      </c>
      <c r="F20" s="4">
        <v>5124</v>
      </c>
      <c r="G20" s="4">
        <v>106860</v>
      </c>
      <c r="H20" s="4" t="s">
        <v>62</v>
      </c>
      <c r="I20" s="4">
        <v>484960588</v>
      </c>
      <c r="J20" s="4" t="s">
        <v>63</v>
      </c>
      <c r="K20" s="4" t="s">
        <v>64</v>
      </c>
      <c r="L20" s="4">
        <v>1.71</v>
      </c>
      <c r="M20" s="4">
        <v>1.71</v>
      </c>
      <c r="N20" s="5">
        <v>43076</v>
      </c>
      <c r="O20" s="5">
        <v>43150</v>
      </c>
      <c r="P20" s="4" t="s">
        <v>25</v>
      </c>
    </row>
    <row r="21" spans="1:16">
      <c r="A21" s="4" t="s">
        <v>26</v>
      </c>
      <c r="B21" s="5">
        <v>43039</v>
      </c>
      <c r="C21" s="4" t="str">
        <f>"29952098"</f>
        <v>29952098</v>
      </c>
      <c r="D21" s="4">
        <v>86038688</v>
      </c>
      <c r="E21" s="5">
        <v>43052</v>
      </c>
      <c r="F21" s="4">
        <v>4944</v>
      </c>
      <c r="G21" s="4">
        <v>106860</v>
      </c>
      <c r="H21" s="4" t="s">
        <v>62</v>
      </c>
      <c r="I21" s="4">
        <v>484960588</v>
      </c>
      <c r="J21" s="4" t="s">
        <v>63</v>
      </c>
      <c r="K21" s="4" t="s">
        <v>64</v>
      </c>
      <c r="L21" s="7">
        <v>2718.45</v>
      </c>
      <c r="M21" s="7">
        <v>2630.05</v>
      </c>
      <c r="N21" s="5">
        <v>43076</v>
      </c>
      <c r="O21" s="5">
        <v>43150</v>
      </c>
      <c r="P21" s="4" t="s">
        <v>21</v>
      </c>
    </row>
    <row r="22" spans="1:16">
      <c r="A22" s="4" t="s">
        <v>26</v>
      </c>
      <c r="B22" s="5">
        <v>43039</v>
      </c>
      <c r="C22" s="4" t="str">
        <f>"29952104"</f>
        <v>29952104</v>
      </c>
      <c r="D22" s="4">
        <v>86038693</v>
      </c>
      <c r="E22" s="5">
        <v>43048</v>
      </c>
      <c r="F22" s="4">
        <v>4879</v>
      </c>
      <c r="G22" s="4">
        <v>106860</v>
      </c>
      <c r="H22" s="4" t="s">
        <v>62</v>
      </c>
      <c r="I22" s="4">
        <v>484960588</v>
      </c>
      <c r="J22" s="4" t="s">
        <v>63</v>
      </c>
      <c r="K22" s="4" t="s">
        <v>64</v>
      </c>
      <c r="L22" s="4">
        <v>73.739999999999995</v>
      </c>
      <c r="M22" s="4">
        <v>71.34</v>
      </c>
      <c r="N22" s="5">
        <v>43076</v>
      </c>
      <c r="O22" s="5">
        <v>43150</v>
      </c>
      <c r="P22" s="4" t="s">
        <v>65</v>
      </c>
    </row>
    <row r="23" spans="1:16">
      <c r="A23" s="4" t="s">
        <v>26</v>
      </c>
      <c r="B23" s="5">
        <v>43039</v>
      </c>
      <c r="C23" s="4" t="str">
        <f>"29952105"</f>
        <v>29952105</v>
      </c>
      <c r="D23" s="4">
        <v>86038694</v>
      </c>
      <c r="E23" s="5">
        <v>43049</v>
      </c>
      <c r="F23" s="4">
        <v>4912</v>
      </c>
      <c r="G23" s="4">
        <v>106860</v>
      </c>
      <c r="H23" s="4" t="s">
        <v>62</v>
      </c>
      <c r="I23" s="4">
        <v>484960588</v>
      </c>
      <c r="J23" s="4" t="s">
        <v>63</v>
      </c>
      <c r="K23" s="4" t="s">
        <v>66</v>
      </c>
      <c r="L23" s="4">
        <v>108.75</v>
      </c>
      <c r="M23" s="4">
        <v>105.21</v>
      </c>
      <c r="N23" s="5">
        <v>43076</v>
      </c>
      <c r="O23" s="5">
        <v>43150</v>
      </c>
      <c r="P23" s="4" t="s">
        <v>67</v>
      </c>
    </row>
    <row r="24" spans="1:16">
      <c r="A24" s="4" t="s">
        <v>26</v>
      </c>
      <c r="B24" s="5">
        <v>43039</v>
      </c>
      <c r="C24" s="4" t="str">
        <f>"29952108"</f>
        <v>29952108</v>
      </c>
      <c r="D24" s="4">
        <v>86038700</v>
      </c>
      <c r="E24" s="5">
        <v>43048</v>
      </c>
      <c r="F24" s="4">
        <v>4877</v>
      </c>
      <c r="G24" s="4">
        <v>106860</v>
      </c>
      <c r="H24" s="4" t="s">
        <v>62</v>
      </c>
      <c r="I24" s="4">
        <v>484960588</v>
      </c>
      <c r="J24" s="4" t="s">
        <v>63</v>
      </c>
      <c r="K24" s="4" t="s">
        <v>64</v>
      </c>
      <c r="L24" s="7">
        <v>1066.9100000000001</v>
      </c>
      <c r="M24" s="7">
        <v>1032.22</v>
      </c>
      <c r="N24" s="5">
        <v>43076</v>
      </c>
      <c r="O24" s="5">
        <v>43150</v>
      </c>
      <c r="P24" s="4" t="s">
        <v>65</v>
      </c>
    </row>
    <row r="25" spans="1:16">
      <c r="A25" s="4" t="s">
        <v>26</v>
      </c>
      <c r="B25" s="5">
        <v>43039</v>
      </c>
      <c r="C25" s="4" t="str">
        <f>"29952109"</f>
        <v>29952109</v>
      </c>
      <c r="D25" s="4">
        <v>86038701</v>
      </c>
      <c r="E25" s="5">
        <v>43049</v>
      </c>
      <c r="F25" s="4">
        <v>4916</v>
      </c>
      <c r="G25" s="4">
        <v>106860</v>
      </c>
      <c r="H25" s="4" t="s">
        <v>62</v>
      </c>
      <c r="I25" s="4">
        <v>484960588</v>
      </c>
      <c r="J25" s="4" t="s">
        <v>63</v>
      </c>
      <c r="K25" s="4" t="s">
        <v>64</v>
      </c>
      <c r="L25" s="4">
        <v>202.41</v>
      </c>
      <c r="M25" s="4">
        <v>195.83</v>
      </c>
      <c r="N25" s="5">
        <v>43076</v>
      </c>
      <c r="O25" s="5">
        <v>43150</v>
      </c>
      <c r="P25" s="4" t="s">
        <v>68</v>
      </c>
    </row>
    <row r="26" spans="1:16">
      <c r="A26" s="4" t="s">
        <v>26</v>
      </c>
      <c r="B26" s="5">
        <v>43039</v>
      </c>
      <c r="C26" s="4" t="str">
        <f>"684/07"</f>
        <v>684/07</v>
      </c>
      <c r="D26" s="4">
        <v>87596130</v>
      </c>
      <c r="E26" s="5">
        <v>43080</v>
      </c>
      <c r="F26" s="4">
        <v>5696</v>
      </c>
      <c r="G26" s="4">
        <v>106863</v>
      </c>
      <c r="H26" s="4" t="s">
        <v>69</v>
      </c>
      <c r="I26" s="4">
        <v>1913040406</v>
      </c>
      <c r="J26" s="4" t="s">
        <v>70</v>
      </c>
      <c r="K26" s="4" t="s">
        <v>71</v>
      </c>
      <c r="L26" s="4">
        <v>505.2</v>
      </c>
      <c r="M26" s="4">
        <v>485.77</v>
      </c>
      <c r="N26" s="5">
        <v>43091</v>
      </c>
      <c r="O26" s="5">
        <v>43209</v>
      </c>
      <c r="P26" s="4" t="s">
        <v>25</v>
      </c>
    </row>
    <row r="27" spans="1:16">
      <c r="A27" s="4" t="s">
        <v>17</v>
      </c>
      <c r="B27" s="5">
        <v>43038</v>
      </c>
      <c r="C27" s="4" t="str">
        <f>"O000000971"</f>
        <v>O000000971</v>
      </c>
      <c r="D27" s="4">
        <v>85428063</v>
      </c>
      <c r="E27" s="5">
        <v>43054</v>
      </c>
      <c r="F27" s="4">
        <v>4968</v>
      </c>
      <c r="G27" s="4">
        <v>7140</v>
      </c>
      <c r="H27" s="4" t="s">
        <v>72</v>
      </c>
      <c r="I27" s="4">
        <v>6832931007</v>
      </c>
      <c r="J27" s="4" t="s">
        <v>73</v>
      </c>
      <c r="K27" s="4" t="s">
        <v>74</v>
      </c>
      <c r="L27" s="4">
        <v>-627.02</v>
      </c>
      <c r="M27" s="4">
        <v>-627.02</v>
      </c>
      <c r="N27" s="4"/>
      <c r="O27" s="4"/>
      <c r="P27" s="4" t="s">
        <v>39</v>
      </c>
    </row>
    <row r="28" spans="1:16">
      <c r="A28" s="4" t="s">
        <v>17</v>
      </c>
      <c r="B28" s="5">
        <v>43038</v>
      </c>
      <c r="C28" s="4" t="str">
        <f>"O000000973"</f>
        <v>O000000973</v>
      </c>
      <c r="D28" s="4">
        <v>85428067</v>
      </c>
      <c r="E28" s="5">
        <v>43054</v>
      </c>
      <c r="F28" s="4">
        <v>4967</v>
      </c>
      <c r="G28" s="4">
        <v>7140</v>
      </c>
      <c r="H28" s="4" t="s">
        <v>72</v>
      </c>
      <c r="I28" s="4">
        <v>6832931007</v>
      </c>
      <c r="J28" s="4" t="s">
        <v>73</v>
      </c>
      <c r="K28" s="4" t="s">
        <v>75</v>
      </c>
      <c r="L28" s="4">
        <v>-627.02</v>
      </c>
      <c r="M28" s="4">
        <v>-627.02</v>
      </c>
      <c r="N28" s="4"/>
      <c r="O28" s="4"/>
      <c r="P28" s="4" t="s">
        <v>39</v>
      </c>
    </row>
    <row r="29" spans="1:16">
      <c r="A29" s="4" t="s">
        <v>26</v>
      </c>
      <c r="B29" s="5">
        <v>43035</v>
      </c>
      <c r="C29" s="4" t="str">
        <f>"O000000969"</f>
        <v>O000000969</v>
      </c>
      <c r="D29" s="4">
        <v>85286277</v>
      </c>
      <c r="E29" s="5">
        <v>43054</v>
      </c>
      <c r="F29" s="4">
        <v>4969</v>
      </c>
      <c r="G29" s="4">
        <v>7140</v>
      </c>
      <c r="H29" s="4" t="s">
        <v>72</v>
      </c>
      <c r="I29" s="4">
        <v>6832931007</v>
      </c>
      <c r="J29" s="4" t="s">
        <v>73</v>
      </c>
      <c r="K29" s="4" t="s">
        <v>75</v>
      </c>
      <c r="L29" s="4">
        <v>627.02</v>
      </c>
      <c r="M29" s="4">
        <v>627.02</v>
      </c>
      <c r="N29" s="5">
        <v>43066</v>
      </c>
      <c r="O29" s="5">
        <v>43145</v>
      </c>
      <c r="P29" s="4" t="s">
        <v>39</v>
      </c>
    </row>
    <row r="30" spans="1:16">
      <c r="A30" s="4" t="s">
        <v>26</v>
      </c>
      <c r="B30" s="5">
        <v>43024</v>
      </c>
      <c r="C30" s="4" t="str">
        <f>"1-2017/PA"</f>
        <v>1-2017/PA</v>
      </c>
      <c r="D30" s="4">
        <v>86149426</v>
      </c>
      <c r="E30" s="5">
        <v>43059</v>
      </c>
      <c r="F30" s="4">
        <v>4993</v>
      </c>
      <c r="G30" s="4">
        <v>107037</v>
      </c>
      <c r="H30" s="4" t="s">
        <v>76</v>
      </c>
      <c r="I30" s="4">
        <v>1952750386</v>
      </c>
      <c r="J30" s="4" t="s">
        <v>77</v>
      </c>
      <c r="K30" s="4" t="s">
        <v>78</v>
      </c>
      <c r="L30" s="7">
        <v>2278.5</v>
      </c>
      <c r="M30" s="7">
        <v>2278.5</v>
      </c>
      <c r="N30" s="5">
        <v>43077</v>
      </c>
      <c r="O30" s="5">
        <v>43139</v>
      </c>
      <c r="P30" s="4" t="s">
        <v>79</v>
      </c>
    </row>
    <row r="31" spans="1:16">
      <c r="A31" s="4" t="s">
        <v>26</v>
      </c>
      <c r="B31" s="5">
        <v>43023</v>
      </c>
      <c r="C31" s="4" t="str">
        <f>"CXG 7"</f>
        <v>CXG 7</v>
      </c>
      <c r="D31" s="4">
        <v>86206695</v>
      </c>
      <c r="E31" s="5">
        <v>43067</v>
      </c>
      <c r="F31" s="4">
        <v>5397</v>
      </c>
      <c r="G31" s="4">
        <v>1778</v>
      </c>
      <c r="H31" s="4" t="s">
        <v>80</v>
      </c>
      <c r="I31" s="4">
        <v>40220386</v>
      </c>
      <c r="J31" s="4" t="s">
        <v>81</v>
      </c>
      <c r="K31" s="4" t="s">
        <v>82</v>
      </c>
      <c r="L31" s="7">
        <v>19434.89</v>
      </c>
      <c r="M31" s="7">
        <v>19434.89</v>
      </c>
      <c r="N31" s="5">
        <v>43077</v>
      </c>
      <c r="O31" s="5">
        <v>43179</v>
      </c>
      <c r="P31" s="4" t="s">
        <v>83</v>
      </c>
    </row>
    <row r="32" spans="1:16">
      <c r="A32" s="4" t="s">
        <v>17</v>
      </c>
      <c r="B32" s="5">
        <v>43019</v>
      </c>
      <c r="C32" s="4" t="str">
        <f>"171188241"</f>
        <v>171188241</v>
      </c>
      <c r="D32" s="4">
        <v>84153540</v>
      </c>
      <c r="E32" s="5">
        <v>43041</v>
      </c>
      <c r="F32" s="4">
        <v>4762</v>
      </c>
      <c r="G32" s="4">
        <v>107435</v>
      </c>
      <c r="H32" s="4" t="s">
        <v>36</v>
      </c>
      <c r="I32" s="4">
        <v>1565370382</v>
      </c>
      <c r="J32" s="4" t="s">
        <v>37</v>
      </c>
      <c r="K32" s="4" t="s">
        <v>84</v>
      </c>
      <c r="L32" s="4">
        <v>-263.74</v>
      </c>
      <c r="M32" s="4">
        <v>-263.74</v>
      </c>
      <c r="N32" s="4"/>
      <c r="O32" s="5">
        <v>43160</v>
      </c>
      <c r="P32" s="4" t="s">
        <v>39</v>
      </c>
    </row>
    <row r="33" spans="1:16">
      <c r="A33" s="4" t="s">
        <v>17</v>
      </c>
      <c r="B33" s="5">
        <v>43019</v>
      </c>
      <c r="C33" s="4" t="str">
        <f>"171188244"</f>
        <v>171188244</v>
      </c>
      <c r="D33" s="4">
        <v>84153493</v>
      </c>
      <c r="E33" s="5">
        <v>43041</v>
      </c>
      <c r="F33" s="4">
        <v>4765</v>
      </c>
      <c r="G33" s="4">
        <v>107435</v>
      </c>
      <c r="H33" s="4" t="s">
        <v>36</v>
      </c>
      <c r="I33" s="4">
        <v>1565370382</v>
      </c>
      <c r="J33" s="4" t="s">
        <v>37</v>
      </c>
      <c r="K33" s="4" t="s">
        <v>85</v>
      </c>
      <c r="L33" s="4">
        <v>-300.02</v>
      </c>
      <c r="M33" s="4">
        <v>-300.02</v>
      </c>
      <c r="N33" s="4"/>
      <c r="O33" s="5">
        <v>43137</v>
      </c>
      <c r="P33" s="4" t="s">
        <v>39</v>
      </c>
    </row>
    <row r="34" spans="1:16">
      <c r="A34" s="4" t="s">
        <v>17</v>
      </c>
      <c r="B34" s="5">
        <v>43019</v>
      </c>
      <c r="C34" s="4" t="str">
        <f>"171188245"</f>
        <v>171188245</v>
      </c>
      <c r="D34" s="4">
        <v>84153517</v>
      </c>
      <c r="E34" s="5">
        <v>43041</v>
      </c>
      <c r="F34" s="4">
        <v>4766</v>
      </c>
      <c r="G34" s="4">
        <v>107435</v>
      </c>
      <c r="H34" s="4" t="s">
        <v>36</v>
      </c>
      <c r="I34" s="4">
        <v>1565370382</v>
      </c>
      <c r="J34" s="4" t="s">
        <v>37</v>
      </c>
      <c r="K34" s="4" t="s">
        <v>86</v>
      </c>
      <c r="L34" s="4">
        <v>-191.87</v>
      </c>
      <c r="M34" s="4">
        <v>-191.87</v>
      </c>
      <c r="N34" s="4"/>
      <c r="O34" s="5">
        <v>43137</v>
      </c>
      <c r="P34" s="4" t="s">
        <v>39</v>
      </c>
    </row>
    <row r="35" spans="1:16">
      <c r="A35" s="4" t="s">
        <v>17</v>
      </c>
      <c r="B35" s="5">
        <v>43019</v>
      </c>
      <c r="C35" s="4" t="str">
        <f>"171188246"</f>
        <v>171188246</v>
      </c>
      <c r="D35" s="4">
        <v>84154080</v>
      </c>
      <c r="E35" s="5">
        <v>43032</v>
      </c>
      <c r="F35" s="4">
        <v>4700</v>
      </c>
      <c r="G35" s="4">
        <v>107435</v>
      </c>
      <c r="H35" s="4" t="s">
        <v>36</v>
      </c>
      <c r="I35" s="4">
        <v>1565370382</v>
      </c>
      <c r="J35" s="4" t="s">
        <v>37</v>
      </c>
      <c r="K35" s="4" t="s">
        <v>87</v>
      </c>
      <c r="L35" s="4">
        <v>-196.29</v>
      </c>
      <c r="M35" s="4">
        <v>-196.29</v>
      </c>
      <c r="N35" s="4"/>
      <c r="O35" s="5">
        <v>43137</v>
      </c>
      <c r="P35" s="4" t="s">
        <v>39</v>
      </c>
    </row>
    <row r="36" spans="1:16">
      <c r="A36" s="4" t="s">
        <v>17</v>
      </c>
      <c r="B36" s="5">
        <v>43019</v>
      </c>
      <c r="C36" s="4" t="str">
        <f>"171188247"</f>
        <v>171188247</v>
      </c>
      <c r="D36" s="4">
        <v>84153396</v>
      </c>
      <c r="E36" s="5">
        <v>43032</v>
      </c>
      <c r="F36" s="4">
        <v>4699</v>
      </c>
      <c r="G36" s="4">
        <v>107435</v>
      </c>
      <c r="H36" s="4" t="s">
        <v>36</v>
      </c>
      <c r="I36" s="4">
        <v>1565370382</v>
      </c>
      <c r="J36" s="4" t="s">
        <v>37</v>
      </c>
      <c r="K36" s="4" t="s">
        <v>88</v>
      </c>
      <c r="L36" s="4">
        <v>-48.89</v>
      </c>
      <c r="M36" s="4">
        <v>-48.89</v>
      </c>
      <c r="N36" s="4"/>
      <c r="O36" s="5">
        <v>43160</v>
      </c>
      <c r="P36" s="4" t="s">
        <v>39</v>
      </c>
    </row>
    <row r="37" spans="1:16">
      <c r="A37" s="4" t="s">
        <v>26</v>
      </c>
      <c r="B37" s="5">
        <v>43018</v>
      </c>
      <c r="C37" s="4" t="str">
        <f>"2017/131/338"</f>
        <v>2017/131/338</v>
      </c>
      <c r="D37" s="4">
        <v>83665105</v>
      </c>
      <c r="E37" s="5">
        <v>43020</v>
      </c>
      <c r="F37" s="4">
        <v>4541</v>
      </c>
      <c r="G37" s="4">
        <v>112</v>
      </c>
      <c r="H37" s="4" t="s">
        <v>89</v>
      </c>
      <c r="I37" s="4">
        <v>1295960387</v>
      </c>
      <c r="J37" s="4" t="s">
        <v>90</v>
      </c>
      <c r="K37" s="4" t="s">
        <v>91</v>
      </c>
      <c r="L37" s="4">
        <v>63.48</v>
      </c>
      <c r="M37" s="4">
        <v>63.48</v>
      </c>
      <c r="N37" s="5">
        <v>43078</v>
      </c>
      <c r="O37" s="5">
        <v>43146</v>
      </c>
      <c r="P37" s="4" t="s">
        <v>92</v>
      </c>
    </row>
    <row r="38" spans="1:16">
      <c r="A38" s="4" t="s">
        <v>26</v>
      </c>
      <c r="B38" s="5">
        <v>43014</v>
      </c>
      <c r="C38" s="4" t="str">
        <f>"2017/131/321"</f>
        <v>2017/131/321</v>
      </c>
      <c r="D38" s="4">
        <v>83655340</v>
      </c>
      <c r="E38" s="5">
        <v>43020</v>
      </c>
      <c r="F38" s="4">
        <v>4542</v>
      </c>
      <c r="G38" s="4">
        <v>112</v>
      </c>
      <c r="H38" s="4" t="s">
        <v>89</v>
      </c>
      <c r="I38" s="4">
        <v>1295960387</v>
      </c>
      <c r="J38" s="4" t="s">
        <v>90</v>
      </c>
      <c r="K38" s="4" t="s">
        <v>93</v>
      </c>
      <c r="L38" s="4">
        <v>24.3</v>
      </c>
      <c r="M38" s="4">
        <v>24.3</v>
      </c>
      <c r="N38" s="5">
        <v>43074</v>
      </c>
      <c r="O38" s="5">
        <v>43146</v>
      </c>
      <c r="P38" s="4" t="s">
        <v>92</v>
      </c>
    </row>
    <row r="39" spans="1:16">
      <c r="A39" s="4" t="s">
        <v>17</v>
      </c>
      <c r="B39" s="5">
        <v>43011</v>
      </c>
      <c r="C39" s="4" t="str">
        <f>"251/E"</f>
        <v>251/E</v>
      </c>
      <c r="D39" s="4">
        <v>82982128</v>
      </c>
      <c r="E39" s="5">
        <v>43018</v>
      </c>
      <c r="F39" s="4">
        <v>4530</v>
      </c>
      <c r="G39" s="4">
        <v>4673</v>
      </c>
      <c r="H39" s="4" t="s">
        <v>51</v>
      </c>
      <c r="I39" s="4"/>
      <c r="J39" s="4" t="s">
        <v>52</v>
      </c>
      <c r="K39" s="4" t="s">
        <v>94</v>
      </c>
      <c r="L39" s="4">
        <v>-283.58999999999997</v>
      </c>
      <c r="M39" s="4">
        <v>-283.58999999999997</v>
      </c>
      <c r="N39" s="4"/>
      <c r="O39" s="4"/>
      <c r="P39" s="4" t="s">
        <v>25</v>
      </c>
    </row>
    <row r="40" spans="1:16">
      <c r="A40" s="4" t="s">
        <v>26</v>
      </c>
      <c r="B40" s="5">
        <v>43010</v>
      </c>
      <c r="C40" s="4" t="str">
        <f>"2017/131/284"</f>
        <v>2017/131/284</v>
      </c>
      <c r="D40" s="4">
        <v>83031945</v>
      </c>
      <c r="E40" s="5">
        <v>43017</v>
      </c>
      <c r="F40" s="4">
        <v>4508</v>
      </c>
      <c r="G40" s="4">
        <v>112</v>
      </c>
      <c r="H40" s="4" t="s">
        <v>89</v>
      </c>
      <c r="I40" s="4">
        <v>1295960387</v>
      </c>
      <c r="J40" s="4" t="s">
        <v>90</v>
      </c>
      <c r="K40" s="4" t="s">
        <v>95</v>
      </c>
      <c r="L40" s="4">
        <v>27.09</v>
      </c>
      <c r="M40" s="4">
        <v>27.09</v>
      </c>
      <c r="N40" s="5">
        <v>43070</v>
      </c>
      <c r="O40" s="5">
        <v>43146</v>
      </c>
      <c r="P40" s="4" t="s">
        <v>92</v>
      </c>
    </row>
    <row r="41" spans="1:16">
      <c r="A41" s="4" t="s">
        <v>17</v>
      </c>
      <c r="B41" s="5">
        <v>43005</v>
      </c>
      <c r="C41" s="4" t="str">
        <f>"MRD/1533"</f>
        <v>MRD/1533</v>
      </c>
      <c r="D41" s="4">
        <v>82547864</v>
      </c>
      <c r="E41" s="5">
        <v>43012</v>
      </c>
      <c r="F41" s="4">
        <v>4441</v>
      </c>
      <c r="G41" s="4">
        <v>107822</v>
      </c>
      <c r="H41" s="4" t="s">
        <v>96</v>
      </c>
      <c r="I41" s="4">
        <v>6560010966</v>
      </c>
      <c r="J41" s="4" t="s">
        <v>97</v>
      </c>
      <c r="K41" s="4" t="s">
        <v>98</v>
      </c>
      <c r="L41" s="4">
        <v>-612.75</v>
      </c>
      <c r="M41" s="4">
        <v>-612.75</v>
      </c>
      <c r="N41" s="5">
        <v>43036</v>
      </c>
      <c r="O41" s="5">
        <v>43145</v>
      </c>
      <c r="P41" s="4" t="s">
        <v>99</v>
      </c>
    </row>
    <row r="42" spans="1:16">
      <c r="A42" s="4" t="s">
        <v>17</v>
      </c>
      <c r="B42" s="5">
        <v>42992</v>
      </c>
      <c r="C42" s="4" t="str">
        <f>"5750474785"</f>
        <v>5750474785</v>
      </c>
      <c r="D42" s="4">
        <v>81699495</v>
      </c>
      <c r="E42" s="5">
        <v>43012</v>
      </c>
      <c r="F42" s="4">
        <v>4444</v>
      </c>
      <c r="G42" s="4">
        <v>6611</v>
      </c>
      <c r="H42" s="4" t="s">
        <v>100</v>
      </c>
      <c r="I42" s="4">
        <v>8526440154</v>
      </c>
      <c r="J42" s="4" t="s">
        <v>101</v>
      </c>
      <c r="K42" s="4" t="s">
        <v>102</v>
      </c>
      <c r="L42" s="7">
        <v>-1432.74</v>
      </c>
      <c r="M42" s="7">
        <v>-1174.3800000000001</v>
      </c>
      <c r="N42" s="5">
        <v>43033</v>
      </c>
      <c r="O42" s="5">
        <v>43489</v>
      </c>
      <c r="P42" s="4" t="s">
        <v>39</v>
      </c>
    </row>
    <row r="43" spans="1:16">
      <c r="A43" s="4" t="s">
        <v>17</v>
      </c>
      <c r="B43" s="5">
        <v>42990</v>
      </c>
      <c r="C43" s="4" t="str">
        <f>"171178302"</f>
        <v>171178302</v>
      </c>
      <c r="D43" s="4">
        <v>81845598</v>
      </c>
      <c r="E43" s="5">
        <v>43011</v>
      </c>
      <c r="F43" s="4">
        <v>4414</v>
      </c>
      <c r="G43" s="4">
        <v>107435</v>
      </c>
      <c r="H43" s="4" t="s">
        <v>36</v>
      </c>
      <c r="I43" s="4">
        <v>1565370382</v>
      </c>
      <c r="J43" s="4" t="s">
        <v>37</v>
      </c>
      <c r="K43" s="4" t="s">
        <v>103</v>
      </c>
      <c r="L43" s="4">
        <v>-544.84</v>
      </c>
      <c r="M43" s="4">
        <v>-544.84</v>
      </c>
      <c r="N43" s="4"/>
      <c r="O43" s="5">
        <v>43137</v>
      </c>
      <c r="P43" s="4" t="s">
        <v>39</v>
      </c>
    </row>
    <row r="44" spans="1:16">
      <c r="A44" s="4" t="s">
        <v>17</v>
      </c>
      <c r="B44" s="5">
        <v>42990</v>
      </c>
      <c r="C44" s="4" t="str">
        <f>"171178305"</f>
        <v>171178305</v>
      </c>
      <c r="D44" s="4">
        <v>81845787</v>
      </c>
      <c r="E44" s="5">
        <v>43011</v>
      </c>
      <c r="F44" s="4">
        <v>4417</v>
      </c>
      <c r="G44" s="4">
        <v>107435</v>
      </c>
      <c r="H44" s="4" t="s">
        <v>36</v>
      </c>
      <c r="I44" s="4">
        <v>1565370382</v>
      </c>
      <c r="J44" s="4" t="s">
        <v>37</v>
      </c>
      <c r="K44" s="4" t="s">
        <v>104</v>
      </c>
      <c r="L44" s="4">
        <v>-367.46</v>
      </c>
      <c r="M44" s="4">
        <v>-367.46</v>
      </c>
      <c r="N44" s="4"/>
      <c r="O44" s="5">
        <v>43137</v>
      </c>
      <c r="P44" s="4" t="s">
        <v>39</v>
      </c>
    </row>
    <row r="45" spans="1:16">
      <c r="A45" s="4" t="s">
        <v>17</v>
      </c>
      <c r="B45" s="5">
        <v>42990</v>
      </c>
      <c r="C45" s="4" t="str">
        <f>"171178308"</f>
        <v>171178308</v>
      </c>
      <c r="D45" s="4">
        <v>81845597</v>
      </c>
      <c r="E45" s="5">
        <v>43011</v>
      </c>
      <c r="F45" s="4">
        <v>4420</v>
      </c>
      <c r="G45" s="4">
        <v>107435</v>
      </c>
      <c r="H45" s="4" t="s">
        <v>36</v>
      </c>
      <c r="I45" s="4">
        <v>1565370382</v>
      </c>
      <c r="J45" s="4" t="s">
        <v>37</v>
      </c>
      <c r="K45" s="4" t="s">
        <v>105</v>
      </c>
      <c r="L45" s="4">
        <v>-327.61</v>
      </c>
      <c r="M45" s="4">
        <v>-327.61</v>
      </c>
      <c r="N45" s="4"/>
      <c r="O45" s="5">
        <v>43137</v>
      </c>
      <c r="P45" s="4" t="s">
        <v>39</v>
      </c>
    </row>
    <row r="46" spans="1:16">
      <c r="A46" s="4" t="s">
        <v>17</v>
      </c>
      <c r="B46" s="5">
        <v>42990</v>
      </c>
      <c r="C46" s="4" t="str">
        <f>"171178313"</f>
        <v>171178313</v>
      </c>
      <c r="D46" s="4">
        <v>81845795</v>
      </c>
      <c r="E46" s="5">
        <v>43011</v>
      </c>
      <c r="F46" s="4">
        <v>4426</v>
      </c>
      <c r="G46" s="4">
        <v>107435</v>
      </c>
      <c r="H46" s="4" t="s">
        <v>36</v>
      </c>
      <c r="I46" s="4">
        <v>1565370382</v>
      </c>
      <c r="J46" s="4" t="s">
        <v>37</v>
      </c>
      <c r="K46" s="4" t="s">
        <v>106</v>
      </c>
      <c r="L46" s="4">
        <v>-305.88</v>
      </c>
      <c r="M46" s="4">
        <v>-305.88</v>
      </c>
      <c r="N46" s="4"/>
      <c r="O46" s="5">
        <v>43160</v>
      </c>
      <c r="P46" s="4" t="s">
        <v>39</v>
      </c>
    </row>
    <row r="47" spans="1:16">
      <c r="A47" s="4" t="s">
        <v>17</v>
      </c>
      <c r="B47" s="5">
        <v>42990</v>
      </c>
      <c r="C47" s="4" t="str">
        <f>"171178320"</f>
        <v>171178320</v>
      </c>
      <c r="D47" s="4">
        <v>81846100</v>
      </c>
      <c r="E47" s="5">
        <v>43011</v>
      </c>
      <c r="F47" s="4">
        <v>4410</v>
      </c>
      <c r="G47" s="4">
        <v>107435</v>
      </c>
      <c r="H47" s="4" t="s">
        <v>36</v>
      </c>
      <c r="I47" s="4">
        <v>1565370382</v>
      </c>
      <c r="J47" s="4" t="s">
        <v>37</v>
      </c>
      <c r="K47" s="4" t="s">
        <v>107</v>
      </c>
      <c r="L47" s="4">
        <v>-263.22000000000003</v>
      </c>
      <c r="M47" s="4">
        <v>-263.22000000000003</v>
      </c>
      <c r="N47" s="4"/>
      <c r="O47" s="5">
        <v>43137</v>
      </c>
      <c r="P47" s="4" t="s">
        <v>39</v>
      </c>
    </row>
    <row r="48" spans="1:16">
      <c r="A48" s="4" t="s">
        <v>26</v>
      </c>
      <c r="B48" s="5">
        <v>42978</v>
      </c>
      <c r="C48" s="4" t="str">
        <f>"CXG 6"</f>
        <v>CXG 6</v>
      </c>
      <c r="D48" s="4">
        <v>80844274</v>
      </c>
      <c r="E48" s="5">
        <v>43005</v>
      </c>
      <c r="F48" s="4">
        <v>4283</v>
      </c>
      <c r="G48" s="4">
        <v>1778</v>
      </c>
      <c r="H48" s="4" t="s">
        <v>80</v>
      </c>
      <c r="I48" s="4">
        <v>40220386</v>
      </c>
      <c r="J48" s="4" t="s">
        <v>81</v>
      </c>
      <c r="K48" s="4" t="s">
        <v>108</v>
      </c>
      <c r="L48" s="7">
        <v>7116.21</v>
      </c>
      <c r="M48" s="7">
        <v>7116.21</v>
      </c>
      <c r="N48" s="5">
        <v>43014</v>
      </c>
      <c r="O48" s="5">
        <v>43179</v>
      </c>
      <c r="P48" s="4" t="s">
        <v>83</v>
      </c>
    </row>
    <row r="49" spans="1:16">
      <c r="A49" s="4" t="s">
        <v>17</v>
      </c>
      <c r="B49" s="5">
        <v>42954</v>
      </c>
      <c r="C49" s="4" t="str">
        <f>"8H00708725"</f>
        <v>8H00708725</v>
      </c>
      <c r="D49" s="4">
        <v>79535311</v>
      </c>
      <c r="E49" s="5">
        <v>42979</v>
      </c>
      <c r="F49" s="4">
        <v>4030</v>
      </c>
      <c r="G49" s="4">
        <v>2386</v>
      </c>
      <c r="H49" s="4" t="s">
        <v>109</v>
      </c>
      <c r="I49" s="4">
        <v>488410010</v>
      </c>
      <c r="J49" s="4" t="s">
        <v>110</v>
      </c>
      <c r="K49" s="4" t="s">
        <v>111</v>
      </c>
      <c r="L49" s="4">
        <v>-74.11</v>
      </c>
      <c r="M49" s="4">
        <v>-60.74</v>
      </c>
      <c r="N49" s="4"/>
      <c r="O49" s="5">
        <v>44196</v>
      </c>
      <c r="P49" s="4" t="s">
        <v>39</v>
      </c>
    </row>
    <row r="50" spans="1:16">
      <c r="A50" s="4" t="s">
        <v>17</v>
      </c>
      <c r="B50" s="5">
        <v>42949</v>
      </c>
      <c r="C50" s="4" t="str">
        <f>"171154538"</f>
        <v>171154538</v>
      </c>
      <c r="D50" s="4">
        <v>78991922</v>
      </c>
      <c r="E50" s="5">
        <v>42956</v>
      </c>
      <c r="F50" s="4">
        <v>3713</v>
      </c>
      <c r="G50" s="4">
        <v>107435</v>
      </c>
      <c r="H50" s="4" t="s">
        <v>36</v>
      </c>
      <c r="I50" s="4">
        <v>1565370382</v>
      </c>
      <c r="J50" s="4" t="s">
        <v>37</v>
      </c>
      <c r="K50" s="4" t="s">
        <v>112</v>
      </c>
      <c r="L50" s="4">
        <v>-542.02</v>
      </c>
      <c r="M50" s="4">
        <v>-444.28</v>
      </c>
      <c r="N50" s="4"/>
      <c r="O50" s="5">
        <v>44196</v>
      </c>
      <c r="P50" s="4" t="s">
        <v>39</v>
      </c>
    </row>
    <row r="51" spans="1:16">
      <c r="A51" s="4" t="s">
        <v>26</v>
      </c>
      <c r="B51" s="5">
        <v>42947</v>
      </c>
      <c r="C51" s="4" t="str">
        <f>"CXG 5"</f>
        <v>CXG 5</v>
      </c>
      <c r="D51" s="4">
        <v>79365503</v>
      </c>
      <c r="E51" s="5">
        <v>42975</v>
      </c>
      <c r="F51" s="4">
        <v>3963</v>
      </c>
      <c r="G51" s="4">
        <v>1778</v>
      </c>
      <c r="H51" s="4" t="s">
        <v>80</v>
      </c>
      <c r="I51" s="4">
        <v>40220386</v>
      </c>
      <c r="J51" s="4" t="s">
        <v>81</v>
      </c>
      <c r="K51" s="4" t="s">
        <v>113</v>
      </c>
      <c r="L51" s="4">
        <v>263.27999999999997</v>
      </c>
      <c r="M51" s="4">
        <v>263.27999999999997</v>
      </c>
      <c r="N51" s="5">
        <v>42988</v>
      </c>
      <c r="O51" s="5">
        <v>43145</v>
      </c>
      <c r="P51" s="4" t="s">
        <v>83</v>
      </c>
    </row>
    <row r="52" spans="1:16">
      <c r="A52" s="4" t="s">
        <v>17</v>
      </c>
      <c r="B52" s="5">
        <v>42930</v>
      </c>
      <c r="C52" s="4" t="str">
        <f>"111703538767"</f>
        <v>111703538767</v>
      </c>
      <c r="D52" s="4">
        <v>78171867</v>
      </c>
      <c r="E52" s="5">
        <v>42958</v>
      </c>
      <c r="F52" s="4">
        <v>3792</v>
      </c>
      <c r="G52" s="4">
        <v>5822</v>
      </c>
      <c r="H52" s="4" t="s">
        <v>114</v>
      </c>
      <c r="I52" s="4">
        <v>4245520376</v>
      </c>
      <c r="J52" s="4" t="s">
        <v>115</v>
      </c>
      <c r="K52" s="4" t="s">
        <v>116</v>
      </c>
      <c r="L52" s="7">
        <v>-1026.49</v>
      </c>
      <c r="M52" s="4">
        <v>-933.17</v>
      </c>
      <c r="N52" s="4"/>
      <c r="O52" s="5">
        <v>44196</v>
      </c>
      <c r="P52" s="4" t="s">
        <v>39</v>
      </c>
    </row>
    <row r="53" spans="1:16">
      <c r="A53" s="4" t="s">
        <v>17</v>
      </c>
      <c r="B53" s="5">
        <v>42930</v>
      </c>
      <c r="C53" s="4" t="str">
        <f>"111703538773"</f>
        <v>111703538773</v>
      </c>
      <c r="D53" s="4">
        <v>78173480</v>
      </c>
      <c r="E53" s="5">
        <v>42958</v>
      </c>
      <c r="F53" s="4">
        <v>3780</v>
      </c>
      <c r="G53" s="4">
        <v>5822</v>
      </c>
      <c r="H53" s="4" t="s">
        <v>114</v>
      </c>
      <c r="I53" s="4">
        <v>4245520376</v>
      </c>
      <c r="J53" s="4" t="s">
        <v>115</v>
      </c>
      <c r="K53" s="4" t="s">
        <v>117</v>
      </c>
      <c r="L53" s="4">
        <v>-158.46</v>
      </c>
      <c r="M53" s="4">
        <v>-144.05000000000001</v>
      </c>
      <c r="N53" s="4"/>
      <c r="O53" s="5">
        <v>44196</v>
      </c>
      <c r="P53" s="4" t="s">
        <v>39</v>
      </c>
    </row>
    <row r="54" spans="1:16">
      <c r="A54" s="4" t="s">
        <v>17</v>
      </c>
      <c r="B54" s="5">
        <v>42930</v>
      </c>
      <c r="C54" s="4" t="str">
        <f>"111703538777"</f>
        <v>111703538777</v>
      </c>
      <c r="D54" s="4">
        <v>78171165</v>
      </c>
      <c r="E54" s="5">
        <v>42958</v>
      </c>
      <c r="F54" s="4">
        <v>3793</v>
      </c>
      <c r="G54" s="4">
        <v>5822</v>
      </c>
      <c r="H54" s="4" t="s">
        <v>114</v>
      </c>
      <c r="I54" s="4">
        <v>4245520376</v>
      </c>
      <c r="J54" s="4" t="s">
        <v>115</v>
      </c>
      <c r="K54" s="4" t="s">
        <v>118</v>
      </c>
      <c r="L54" s="4">
        <v>-454.83</v>
      </c>
      <c r="M54" s="4">
        <v>-413.48</v>
      </c>
      <c r="N54" s="4"/>
      <c r="O54" s="5">
        <v>43489</v>
      </c>
      <c r="P54" s="4" t="s">
        <v>39</v>
      </c>
    </row>
    <row r="55" spans="1:16">
      <c r="A55" s="4" t="s">
        <v>26</v>
      </c>
      <c r="B55" s="5">
        <v>42928</v>
      </c>
      <c r="C55" s="4" t="str">
        <f>"765"</f>
        <v>765</v>
      </c>
      <c r="D55" s="4">
        <v>76774692</v>
      </c>
      <c r="E55" s="5">
        <v>42943</v>
      </c>
      <c r="F55" s="4">
        <v>3550</v>
      </c>
      <c r="G55" s="4">
        <v>5840</v>
      </c>
      <c r="H55" s="4" t="s">
        <v>119</v>
      </c>
      <c r="I55" s="4">
        <v>3298520242</v>
      </c>
      <c r="J55" s="4" t="s">
        <v>120</v>
      </c>
      <c r="K55" s="4" t="s">
        <v>121</v>
      </c>
      <c r="L55" s="7">
        <v>5368</v>
      </c>
      <c r="M55" s="7">
        <v>4400</v>
      </c>
      <c r="N55" s="5">
        <v>42990</v>
      </c>
      <c r="O55" s="5">
        <v>43147</v>
      </c>
      <c r="P55" s="4" t="s">
        <v>65</v>
      </c>
    </row>
    <row r="56" spans="1:16">
      <c r="A56" s="4" t="s">
        <v>17</v>
      </c>
      <c r="B56" s="5">
        <v>42928</v>
      </c>
      <c r="C56" s="4" t="str">
        <f>"171143988"</f>
        <v>171143988</v>
      </c>
      <c r="D56" s="4">
        <v>77460430</v>
      </c>
      <c r="E56" s="5">
        <v>42940</v>
      </c>
      <c r="F56" s="4">
        <v>3454</v>
      </c>
      <c r="G56" s="4">
        <v>107435</v>
      </c>
      <c r="H56" s="4" t="s">
        <v>36</v>
      </c>
      <c r="I56" s="4">
        <v>1565370382</v>
      </c>
      <c r="J56" s="4" t="s">
        <v>37</v>
      </c>
      <c r="K56" s="4" t="s">
        <v>122</v>
      </c>
      <c r="L56" s="4">
        <v>-451.67</v>
      </c>
      <c r="M56" s="4">
        <v>-451.67</v>
      </c>
      <c r="N56" s="4"/>
      <c r="O56" s="5">
        <v>43137</v>
      </c>
      <c r="P56" s="4" t="s">
        <v>39</v>
      </c>
    </row>
    <row r="57" spans="1:16">
      <c r="A57" s="4" t="s">
        <v>17</v>
      </c>
      <c r="B57" s="5">
        <v>42928</v>
      </c>
      <c r="C57" s="4" t="str">
        <f>"171143991"</f>
        <v>171143991</v>
      </c>
      <c r="D57" s="4">
        <v>77460164</v>
      </c>
      <c r="E57" s="5">
        <v>42940</v>
      </c>
      <c r="F57" s="4">
        <v>3457</v>
      </c>
      <c r="G57" s="4">
        <v>107435</v>
      </c>
      <c r="H57" s="4" t="s">
        <v>36</v>
      </c>
      <c r="I57" s="4">
        <v>1565370382</v>
      </c>
      <c r="J57" s="4" t="s">
        <v>37</v>
      </c>
      <c r="K57" s="4" t="s">
        <v>123</v>
      </c>
      <c r="L57" s="4">
        <v>-506.54</v>
      </c>
      <c r="M57" s="4">
        <v>-506.54</v>
      </c>
      <c r="N57" s="4"/>
      <c r="O57" s="5">
        <v>43213</v>
      </c>
      <c r="P57" s="4" t="s">
        <v>39</v>
      </c>
    </row>
    <row r="58" spans="1:16">
      <c r="A58" s="4" t="s">
        <v>26</v>
      </c>
      <c r="B58" s="5">
        <v>42917</v>
      </c>
      <c r="C58" s="4" t="str">
        <f>"844/D"</f>
        <v>844/D</v>
      </c>
      <c r="D58" s="4">
        <v>79286812</v>
      </c>
      <c r="E58" s="5">
        <v>42975</v>
      </c>
      <c r="F58" s="4">
        <v>3965</v>
      </c>
      <c r="G58" s="4">
        <v>4475</v>
      </c>
      <c r="H58" s="4" t="s">
        <v>124</v>
      </c>
      <c r="I58" s="4">
        <v>915090393</v>
      </c>
      <c r="J58" s="4" t="s">
        <v>125</v>
      </c>
      <c r="K58" s="4" t="s">
        <v>126</v>
      </c>
      <c r="L58" s="7">
        <v>2721.01</v>
      </c>
      <c r="M58" s="7">
        <v>2591.44</v>
      </c>
      <c r="N58" s="5">
        <v>43027</v>
      </c>
      <c r="O58" s="5">
        <v>43167</v>
      </c>
      <c r="P58" s="4" t="s">
        <v>25</v>
      </c>
    </row>
    <row r="59" spans="1:16">
      <c r="A59" s="4" t="s">
        <v>26</v>
      </c>
      <c r="B59" s="5">
        <v>42917</v>
      </c>
      <c r="C59" s="4" t="str">
        <f>"845/D"</f>
        <v>845/D</v>
      </c>
      <c r="D59" s="4">
        <v>79286808</v>
      </c>
      <c r="E59" s="5">
        <v>42975</v>
      </c>
      <c r="F59" s="4">
        <v>3967</v>
      </c>
      <c r="G59" s="4">
        <v>4475</v>
      </c>
      <c r="H59" s="4" t="s">
        <v>124</v>
      </c>
      <c r="I59" s="4">
        <v>915090393</v>
      </c>
      <c r="J59" s="4" t="s">
        <v>125</v>
      </c>
      <c r="K59" s="4" t="s">
        <v>126</v>
      </c>
      <c r="L59" s="7">
        <v>1594.32</v>
      </c>
      <c r="M59" s="7">
        <v>1518.4</v>
      </c>
      <c r="N59" s="5">
        <v>43027</v>
      </c>
      <c r="O59" s="5">
        <v>43167</v>
      </c>
      <c r="P59" s="4" t="s">
        <v>25</v>
      </c>
    </row>
    <row r="60" spans="1:16">
      <c r="A60" s="4" t="s">
        <v>26</v>
      </c>
      <c r="B60" s="5">
        <v>42917</v>
      </c>
      <c r="C60" s="4" t="str">
        <f>"846/D"</f>
        <v>846/D</v>
      </c>
      <c r="D60" s="4">
        <v>79286810</v>
      </c>
      <c r="E60" s="5">
        <v>42975</v>
      </c>
      <c r="F60" s="4">
        <v>3966</v>
      </c>
      <c r="G60" s="4">
        <v>4475</v>
      </c>
      <c r="H60" s="4" t="s">
        <v>124</v>
      </c>
      <c r="I60" s="4">
        <v>915090393</v>
      </c>
      <c r="J60" s="4" t="s">
        <v>125</v>
      </c>
      <c r="K60" s="4" t="s">
        <v>127</v>
      </c>
      <c r="L60" s="4">
        <v>360.84</v>
      </c>
      <c r="M60" s="4">
        <v>343.66</v>
      </c>
      <c r="N60" s="5">
        <v>43027</v>
      </c>
      <c r="O60" s="5">
        <v>43167</v>
      </c>
      <c r="P60" s="4" t="s">
        <v>25</v>
      </c>
    </row>
    <row r="61" spans="1:16">
      <c r="A61" s="4" t="s">
        <v>26</v>
      </c>
      <c r="B61" s="5">
        <v>42917</v>
      </c>
      <c r="C61" s="4" t="str">
        <f>"847/D"</f>
        <v>847/D</v>
      </c>
      <c r="D61" s="4">
        <v>79286786</v>
      </c>
      <c r="E61" s="5">
        <v>42975</v>
      </c>
      <c r="F61" s="4">
        <v>3968</v>
      </c>
      <c r="G61" s="4">
        <v>4475</v>
      </c>
      <c r="H61" s="4" t="s">
        <v>124</v>
      </c>
      <c r="I61" s="4">
        <v>915090393</v>
      </c>
      <c r="J61" s="4" t="s">
        <v>125</v>
      </c>
      <c r="K61" s="4" t="s">
        <v>127</v>
      </c>
      <c r="L61" s="7">
        <v>1295.6600000000001</v>
      </c>
      <c r="M61" s="7">
        <v>1233.96</v>
      </c>
      <c r="N61" s="5">
        <v>43027</v>
      </c>
      <c r="O61" s="5">
        <v>43167</v>
      </c>
      <c r="P61" s="4" t="s">
        <v>25</v>
      </c>
    </row>
    <row r="62" spans="1:16">
      <c r="A62" s="4" t="s">
        <v>26</v>
      </c>
      <c r="B62" s="5">
        <v>42916</v>
      </c>
      <c r="C62" s="4" t="str">
        <f>"CXG 4"</f>
        <v>CXG 4</v>
      </c>
      <c r="D62" s="4">
        <v>76204298</v>
      </c>
      <c r="E62" s="5">
        <v>42942</v>
      </c>
      <c r="F62" s="4">
        <v>3521</v>
      </c>
      <c r="G62" s="4">
        <v>1778</v>
      </c>
      <c r="H62" s="4" t="s">
        <v>80</v>
      </c>
      <c r="I62" s="4">
        <v>40220386</v>
      </c>
      <c r="J62" s="4" t="s">
        <v>81</v>
      </c>
      <c r="K62" s="4" t="s">
        <v>128</v>
      </c>
      <c r="L62" s="4">
        <v>345.46</v>
      </c>
      <c r="M62" s="4">
        <v>283.16000000000003</v>
      </c>
      <c r="N62" s="5">
        <v>42952</v>
      </c>
      <c r="O62" s="5">
        <v>43146</v>
      </c>
      <c r="P62" s="4" t="s">
        <v>83</v>
      </c>
    </row>
    <row r="63" spans="1:16">
      <c r="A63" s="4" t="s">
        <v>26</v>
      </c>
      <c r="B63" s="5">
        <v>42916</v>
      </c>
      <c r="C63" s="4" t="str">
        <f>"FATTPA 22_17"</f>
        <v>FATTPA 22_17</v>
      </c>
      <c r="D63" s="4">
        <v>75647652</v>
      </c>
      <c r="E63" s="5">
        <v>42936</v>
      </c>
      <c r="F63" s="4">
        <v>3447</v>
      </c>
      <c r="G63" s="4">
        <v>107717</v>
      </c>
      <c r="H63" s="4" t="s">
        <v>129</v>
      </c>
      <c r="I63" s="4"/>
      <c r="J63" s="4" t="s">
        <v>130</v>
      </c>
      <c r="K63" s="4" t="s">
        <v>131</v>
      </c>
      <c r="L63" s="4">
        <v>766.16</v>
      </c>
      <c r="M63" s="4">
        <v>766.16</v>
      </c>
      <c r="N63" s="5">
        <v>42946</v>
      </c>
      <c r="O63" s="5">
        <v>43139</v>
      </c>
      <c r="P63" s="4" t="s">
        <v>79</v>
      </c>
    </row>
    <row r="64" spans="1:16">
      <c r="A64" s="4" t="s">
        <v>26</v>
      </c>
      <c r="B64" s="5">
        <v>42915</v>
      </c>
      <c r="C64" s="4" t="str">
        <f>"4 PA"</f>
        <v>4 PA</v>
      </c>
      <c r="D64" s="4">
        <v>75518645</v>
      </c>
      <c r="E64" s="5">
        <v>42919</v>
      </c>
      <c r="F64" s="4">
        <v>3193</v>
      </c>
      <c r="G64" s="4">
        <v>107303</v>
      </c>
      <c r="H64" s="4" t="s">
        <v>132</v>
      </c>
      <c r="I64" s="4">
        <v>469110381</v>
      </c>
      <c r="J64" s="4" t="s">
        <v>133</v>
      </c>
      <c r="K64" s="4" t="s">
        <v>134</v>
      </c>
      <c r="L64" s="7">
        <v>2362.0100000000002</v>
      </c>
      <c r="M64" s="7">
        <v>2362.0100000000002</v>
      </c>
      <c r="N64" s="5">
        <v>42978</v>
      </c>
      <c r="O64" s="5">
        <v>43131</v>
      </c>
      <c r="P64" s="4" t="s">
        <v>31</v>
      </c>
    </row>
    <row r="65" spans="1:16">
      <c r="A65" s="4" t="s">
        <v>26</v>
      </c>
      <c r="B65" s="5">
        <v>42913</v>
      </c>
      <c r="C65" s="4" t="str">
        <f>"3-PA"</f>
        <v>3-PA</v>
      </c>
      <c r="D65" s="4">
        <v>75349672</v>
      </c>
      <c r="E65" s="5">
        <v>42920</v>
      </c>
      <c r="F65" s="4">
        <v>3246</v>
      </c>
      <c r="G65" s="4">
        <v>774</v>
      </c>
      <c r="H65" s="4" t="s">
        <v>135</v>
      </c>
      <c r="I65" s="4">
        <v>871460382</v>
      </c>
      <c r="J65" s="4" t="s">
        <v>136</v>
      </c>
      <c r="K65" s="4" t="s">
        <v>137</v>
      </c>
      <c r="L65" s="4">
        <v>256.2</v>
      </c>
      <c r="M65" s="4">
        <v>210</v>
      </c>
      <c r="N65" s="5">
        <v>42943</v>
      </c>
      <c r="O65" s="5">
        <v>43209</v>
      </c>
      <c r="P65" s="4" t="s">
        <v>79</v>
      </c>
    </row>
    <row r="66" spans="1:16">
      <c r="A66" s="4" t="s">
        <v>26</v>
      </c>
      <c r="B66" s="5">
        <v>42901</v>
      </c>
      <c r="C66" s="4" t="str">
        <f>"CXG 3"</f>
        <v>CXG 3</v>
      </c>
      <c r="D66" s="4">
        <v>76204296</v>
      </c>
      <c r="E66" s="5">
        <v>42942</v>
      </c>
      <c r="F66" s="4">
        <v>3522</v>
      </c>
      <c r="G66" s="4">
        <v>1778</v>
      </c>
      <c r="H66" s="4" t="s">
        <v>80</v>
      </c>
      <c r="I66" s="4">
        <v>40220386</v>
      </c>
      <c r="J66" s="4" t="s">
        <v>81</v>
      </c>
      <c r="K66" s="4" t="s">
        <v>138</v>
      </c>
      <c r="L66" s="4">
        <v>634.4</v>
      </c>
      <c r="M66" s="4">
        <v>520</v>
      </c>
      <c r="N66" s="5">
        <v>42952</v>
      </c>
      <c r="O66" s="5">
        <v>43105</v>
      </c>
      <c r="P66" s="4" t="s">
        <v>83</v>
      </c>
    </row>
    <row r="67" spans="1:16">
      <c r="A67" s="4" t="s">
        <v>26</v>
      </c>
      <c r="B67" s="5">
        <v>42886</v>
      </c>
      <c r="C67" s="4" t="str">
        <f>"906/PA"</f>
        <v>906/PA</v>
      </c>
      <c r="D67" s="4">
        <v>73535321</v>
      </c>
      <c r="E67" s="5">
        <v>43075</v>
      </c>
      <c r="F67" s="4">
        <v>5658</v>
      </c>
      <c r="G67" s="4">
        <v>7185</v>
      </c>
      <c r="H67" s="4" t="s">
        <v>139</v>
      </c>
      <c r="I67" s="4">
        <v>4201270370</v>
      </c>
      <c r="J67" s="4" t="s">
        <v>140</v>
      </c>
      <c r="K67" s="4" t="s">
        <v>141</v>
      </c>
      <c r="L67" s="4">
        <v>540.44000000000005</v>
      </c>
      <c r="M67" s="4">
        <v>519.65</v>
      </c>
      <c r="N67" s="5">
        <v>42923</v>
      </c>
      <c r="O67" s="5">
        <v>43549</v>
      </c>
      <c r="P67" s="4" t="s">
        <v>25</v>
      </c>
    </row>
    <row r="68" spans="1:16">
      <c r="A68" s="4" t="s">
        <v>17</v>
      </c>
      <c r="B68" s="5">
        <v>42867</v>
      </c>
      <c r="C68" s="4" t="str">
        <f>"171104256"</f>
        <v>171104256</v>
      </c>
      <c r="D68" s="4">
        <v>71439698</v>
      </c>
      <c r="E68" s="5">
        <v>42906</v>
      </c>
      <c r="F68" s="4">
        <v>2989</v>
      </c>
      <c r="G68" s="4">
        <v>107435</v>
      </c>
      <c r="H68" s="4" t="s">
        <v>36</v>
      </c>
      <c r="I68" s="4">
        <v>1565370382</v>
      </c>
      <c r="J68" s="4" t="s">
        <v>37</v>
      </c>
      <c r="K68" s="4" t="s">
        <v>142</v>
      </c>
      <c r="L68" s="4">
        <v>-382.26</v>
      </c>
      <c r="M68" s="4">
        <v>-382.26</v>
      </c>
      <c r="N68" s="4"/>
      <c r="O68" s="5">
        <v>43137</v>
      </c>
      <c r="P68" s="4" t="s">
        <v>39</v>
      </c>
    </row>
    <row r="69" spans="1:16">
      <c r="A69" s="4" t="s">
        <v>26</v>
      </c>
      <c r="B69" s="5">
        <v>42858</v>
      </c>
      <c r="C69" s="4" t="str">
        <f>"03/2017"</f>
        <v>03/2017</v>
      </c>
      <c r="D69" s="4">
        <v>70195230</v>
      </c>
      <c r="E69" s="5">
        <v>42884</v>
      </c>
      <c r="F69" s="4">
        <v>2561</v>
      </c>
      <c r="G69" s="4">
        <v>1735</v>
      </c>
      <c r="H69" s="4" t="s">
        <v>143</v>
      </c>
      <c r="I69" s="4">
        <v>93023930386</v>
      </c>
      <c r="J69" s="4" t="s">
        <v>144</v>
      </c>
      <c r="K69" s="4" t="s">
        <v>145</v>
      </c>
      <c r="L69" s="7">
        <v>1813.46</v>
      </c>
      <c r="M69" s="7">
        <v>1813.46</v>
      </c>
      <c r="N69" s="5">
        <v>42888</v>
      </c>
      <c r="O69" s="5">
        <v>43126</v>
      </c>
      <c r="P69" s="4" t="s">
        <v>79</v>
      </c>
    </row>
    <row r="70" spans="1:16">
      <c r="A70" s="4" t="s">
        <v>26</v>
      </c>
      <c r="B70" s="5">
        <v>42825</v>
      </c>
      <c r="C70" s="4" t="str">
        <f>"CXG 1"</f>
        <v>CXG 1</v>
      </c>
      <c r="D70" s="4">
        <v>68199521</v>
      </c>
      <c r="E70" s="5">
        <v>42852</v>
      </c>
      <c r="F70" s="4">
        <v>2116</v>
      </c>
      <c r="G70" s="4">
        <v>1778</v>
      </c>
      <c r="H70" s="4" t="s">
        <v>80</v>
      </c>
      <c r="I70" s="4">
        <v>40220386</v>
      </c>
      <c r="J70" s="4" t="s">
        <v>81</v>
      </c>
      <c r="K70" s="4" t="s">
        <v>146</v>
      </c>
      <c r="L70" s="4">
        <v>51.44</v>
      </c>
      <c r="M70" s="4">
        <v>42.16</v>
      </c>
      <c r="N70" s="5">
        <v>42866</v>
      </c>
      <c r="O70" s="5">
        <v>43146</v>
      </c>
      <c r="P70" s="4" t="s">
        <v>83</v>
      </c>
    </row>
    <row r="71" spans="1:16">
      <c r="A71" s="4" t="s">
        <v>26</v>
      </c>
      <c r="B71" s="5">
        <v>42825</v>
      </c>
      <c r="C71" s="4" t="str">
        <f>"458 /FE"</f>
        <v>458 /FE</v>
      </c>
      <c r="D71" s="4">
        <v>68881545</v>
      </c>
      <c r="E71" s="5">
        <v>42859</v>
      </c>
      <c r="F71" s="4">
        <v>2197</v>
      </c>
      <c r="G71" s="4">
        <v>4003</v>
      </c>
      <c r="H71" s="4" t="s">
        <v>59</v>
      </c>
      <c r="I71" s="4">
        <v>463980383</v>
      </c>
      <c r="J71" s="4" t="s">
        <v>60</v>
      </c>
      <c r="K71" s="4" t="s">
        <v>147</v>
      </c>
      <c r="L71" s="7">
        <v>1635.05</v>
      </c>
      <c r="M71" s="7">
        <v>1635.05</v>
      </c>
      <c r="N71" s="5">
        <v>42873</v>
      </c>
      <c r="O71" s="5">
        <v>44112</v>
      </c>
      <c r="P71" s="4" t="s">
        <v>25</v>
      </c>
    </row>
    <row r="72" spans="1:16">
      <c r="A72" s="4" t="s">
        <v>26</v>
      </c>
      <c r="B72" s="5">
        <v>42817</v>
      </c>
      <c r="C72" s="4" t="str">
        <f>"164 / 2017"</f>
        <v>164 / 2017</v>
      </c>
      <c r="D72" s="4">
        <v>0</v>
      </c>
      <c r="E72" s="5">
        <v>42901</v>
      </c>
      <c r="F72" s="4">
        <v>2938</v>
      </c>
      <c r="G72" s="4">
        <v>353</v>
      </c>
      <c r="H72" s="4" t="s">
        <v>44</v>
      </c>
      <c r="I72" s="4">
        <v>93016880382</v>
      </c>
      <c r="J72" s="4"/>
      <c r="K72" s="4" t="s">
        <v>148</v>
      </c>
      <c r="L72" s="4">
        <v>214.89</v>
      </c>
      <c r="M72" s="4">
        <v>214.89</v>
      </c>
      <c r="N72" s="5">
        <v>42855</v>
      </c>
      <c r="O72" s="5">
        <v>43158</v>
      </c>
      <c r="P72" s="4"/>
    </row>
    <row r="73" spans="1:16">
      <c r="A73" s="4" t="s">
        <v>26</v>
      </c>
      <c r="B73" s="5">
        <v>42814</v>
      </c>
      <c r="C73" s="4" t="str">
        <f>"2017/119/1"</f>
        <v>2017/119/1</v>
      </c>
      <c r="D73" s="4">
        <v>66139742</v>
      </c>
      <c r="E73" s="5">
        <v>42831</v>
      </c>
      <c r="F73" s="4">
        <v>1732</v>
      </c>
      <c r="G73" s="4">
        <v>112</v>
      </c>
      <c r="H73" s="4" t="s">
        <v>89</v>
      </c>
      <c r="I73" s="4">
        <v>1295960387</v>
      </c>
      <c r="J73" s="4" t="s">
        <v>90</v>
      </c>
      <c r="K73" s="4" t="s">
        <v>149</v>
      </c>
      <c r="L73" s="4">
        <v>171</v>
      </c>
      <c r="M73" s="4">
        <v>171</v>
      </c>
      <c r="N73" s="5">
        <v>42874</v>
      </c>
      <c r="O73" s="5">
        <v>43147</v>
      </c>
      <c r="P73" s="4" t="s">
        <v>92</v>
      </c>
    </row>
    <row r="74" spans="1:16">
      <c r="A74" s="4" t="s">
        <v>17</v>
      </c>
      <c r="B74" s="5">
        <v>42814</v>
      </c>
      <c r="C74" s="4" t="str">
        <f>"111701432318"</f>
        <v>111701432318</v>
      </c>
      <c r="D74" s="4">
        <v>66430744</v>
      </c>
      <c r="E74" s="5">
        <v>42846</v>
      </c>
      <c r="F74" s="4">
        <v>1949</v>
      </c>
      <c r="G74" s="4">
        <v>5822</v>
      </c>
      <c r="H74" s="4" t="s">
        <v>114</v>
      </c>
      <c r="I74" s="4">
        <v>4245520376</v>
      </c>
      <c r="J74" s="4" t="s">
        <v>115</v>
      </c>
      <c r="K74" s="4" t="s">
        <v>150</v>
      </c>
      <c r="L74" s="4">
        <v>-504.98</v>
      </c>
      <c r="M74" s="4">
        <v>-459.07</v>
      </c>
      <c r="N74" s="4"/>
      <c r="O74" s="5">
        <v>44196</v>
      </c>
      <c r="P74" s="4" t="s">
        <v>39</v>
      </c>
    </row>
    <row r="75" spans="1:16">
      <c r="A75" s="4" t="s">
        <v>26</v>
      </c>
      <c r="B75" s="5">
        <v>42794</v>
      </c>
      <c r="C75" s="4" t="str">
        <f>"294 /FE"</f>
        <v>294 /FE</v>
      </c>
      <c r="D75" s="4">
        <v>66204323</v>
      </c>
      <c r="E75" s="5">
        <v>42821</v>
      </c>
      <c r="F75" s="4">
        <v>1597</v>
      </c>
      <c r="G75" s="4">
        <v>4003</v>
      </c>
      <c r="H75" s="4" t="s">
        <v>59</v>
      </c>
      <c r="I75" s="4">
        <v>463980383</v>
      </c>
      <c r="J75" s="4" t="s">
        <v>60</v>
      </c>
      <c r="K75" s="4" t="s">
        <v>151</v>
      </c>
      <c r="L75" s="7">
        <v>1204.67</v>
      </c>
      <c r="M75" s="7">
        <v>1027.6400000000001</v>
      </c>
      <c r="N75" s="5">
        <v>42844</v>
      </c>
      <c r="O75" s="5">
        <v>44117</v>
      </c>
      <c r="P75" s="4" t="s">
        <v>25</v>
      </c>
    </row>
    <row r="76" spans="1:16">
      <c r="A76" s="4" t="s">
        <v>26</v>
      </c>
      <c r="B76" s="5">
        <v>42794</v>
      </c>
      <c r="C76" s="4" t="str">
        <f>"294 /FE"</f>
        <v>294 /FE</v>
      </c>
      <c r="D76" s="4">
        <v>66204323</v>
      </c>
      <c r="E76" s="5">
        <v>42821</v>
      </c>
      <c r="F76" s="4">
        <v>1597</v>
      </c>
      <c r="G76" s="4">
        <v>4003</v>
      </c>
      <c r="H76" s="4" t="s">
        <v>59</v>
      </c>
      <c r="I76" s="4">
        <v>463980383</v>
      </c>
      <c r="J76" s="4" t="s">
        <v>60</v>
      </c>
      <c r="K76" s="4" t="s">
        <v>151</v>
      </c>
      <c r="L76" s="7">
        <v>1204.67</v>
      </c>
      <c r="M76" s="4">
        <v>177.03</v>
      </c>
      <c r="N76" s="5">
        <v>42844</v>
      </c>
      <c r="O76" s="5">
        <v>44112</v>
      </c>
      <c r="P76" s="4" t="s">
        <v>25</v>
      </c>
    </row>
    <row r="77" spans="1:16">
      <c r="A77" s="4" t="s">
        <v>17</v>
      </c>
      <c r="B77" s="5">
        <v>42788</v>
      </c>
      <c r="C77" s="4" t="str">
        <f>"38127450100703A"</f>
        <v>38127450100703A</v>
      </c>
      <c r="D77" s="4">
        <v>63835718</v>
      </c>
      <c r="E77" s="5">
        <v>42942</v>
      </c>
      <c r="F77" s="4">
        <v>3531</v>
      </c>
      <c r="G77" s="4">
        <v>5925</v>
      </c>
      <c r="H77" s="4" t="s">
        <v>152</v>
      </c>
      <c r="I77" s="4">
        <v>9633951000</v>
      </c>
      <c r="J77" s="4" t="s">
        <v>55</v>
      </c>
      <c r="K77" s="4"/>
      <c r="L77" s="4">
        <v>-10</v>
      </c>
      <c r="M77" s="4">
        <v>-10</v>
      </c>
      <c r="N77" s="4"/>
      <c r="O77" s="5">
        <v>43563</v>
      </c>
      <c r="P77" s="4" t="s">
        <v>31</v>
      </c>
    </row>
    <row r="78" spans="1:16">
      <c r="A78" s="4" t="s">
        <v>17</v>
      </c>
      <c r="B78" s="5">
        <v>42772</v>
      </c>
      <c r="C78" s="4" t="str">
        <f>"8H00125887"</f>
        <v>8H00125887</v>
      </c>
      <c r="D78" s="4">
        <v>63561715</v>
      </c>
      <c r="E78" s="5">
        <v>42851</v>
      </c>
      <c r="F78" s="4">
        <v>2042</v>
      </c>
      <c r="G78" s="4">
        <v>2386</v>
      </c>
      <c r="H78" s="4" t="s">
        <v>109</v>
      </c>
      <c r="I78" s="4">
        <v>488410010</v>
      </c>
      <c r="J78" s="4" t="s">
        <v>110</v>
      </c>
      <c r="K78" s="4" t="s">
        <v>153</v>
      </c>
      <c r="L78" s="4">
        <v>-141.12</v>
      </c>
      <c r="M78" s="4">
        <v>-115.67</v>
      </c>
      <c r="N78" s="4"/>
      <c r="O78" s="5">
        <v>44196</v>
      </c>
      <c r="P78" s="4" t="s">
        <v>39</v>
      </c>
    </row>
    <row r="79" spans="1:16">
      <c r="A79" s="4" t="s">
        <v>26</v>
      </c>
      <c r="B79" s="5">
        <v>42766</v>
      </c>
      <c r="C79" s="4" t="str">
        <f>"8 E"</f>
        <v>8 E</v>
      </c>
      <c r="D79" s="4">
        <v>61694163</v>
      </c>
      <c r="E79" s="5">
        <v>42776</v>
      </c>
      <c r="F79" s="4">
        <v>810</v>
      </c>
      <c r="G79" s="4">
        <v>8027</v>
      </c>
      <c r="H79" s="4" t="s">
        <v>154</v>
      </c>
      <c r="I79" s="4">
        <v>1904060389</v>
      </c>
      <c r="J79" s="4" t="s">
        <v>155</v>
      </c>
      <c r="K79" s="4" t="s">
        <v>156</v>
      </c>
      <c r="L79" s="7">
        <v>14782.5</v>
      </c>
      <c r="M79" s="7">
        <v>14782.5</v>
      </c>
      <c r="N79" s="5">
        <v>42797</v>
      </c>
      <c r="O79" s="5">
        <v>43143</v>
      </c>
      <c r="P79" s="4" t="s">
        <v>157</v>
      </c>
    </row>
    <row r="80" spans="1:16">
      <c r="A80" s="4" t="s">
        <v>17</v>
      </c>
      <c r="B80" s="5">
        <v>42755</v>
      </c>
      <c r="C80" s="4" t="str">
        <f>"S000000046"</f>
        <v>S000000046</v>
      </c>
      <c r="D80" s="4">
        <v>60837027</v>
      </c>
      <c r="E80" s="5">
        <v>42775</v>
      </c>
      <c r="F80" s="4">
        <v>779</v>
      </c>
      <c r="G80" s="4">
        <v>7140</v>
      </c>
      <c r="H80" s="4" t="s">
        <v>72</v>
      </c>
      <c r="I80" s="4">
        <v>6832931007</v>
      </c>
      <c r="J80" s="4" t="s">
        <v>73</v>
      </c>
      <c r="K80" s="4" t="s">
        <v>158</v>
      </c>
      <c r="L80" s="4">
        <v>-929.79</v>
      </c>
      <c r="M80" s="4">
        <v>-762.12</v>
      </c>
      <c r="N80" s="4"/>
      <c r="O80" s="4"/>
      <c r="P80" s="4" t="s">
        <v>39</v>
      </c>
    </row>
    <row r="81" spans="1:16">
      <c r="A81" s="4" t="s">
        <v>17</v>
      </c>
      <c r="B81" s="5">
        <v>42755</v>
      </c>
      <c r="C81" s="4" t="str">
        <f>"S000000047"</f>
        <v>S000000047</v>
      </c>
      <c r="D81" s="4">
        <v>60837031</v>
      </c>
      <c r="E81" s="5">
        <v>42775</v>
      </c>
      <c r="F81" s="4">
        <v>778</v>
      </c>
      <c r="G81" s="4">
        <v>7140</v>
      </c>
      <c r="H81" s="4" t="s">
        <v>72</v>
      </c>
      <c r="I81" s="4">
        <v>6832931007</v>
      </c>
      <c r="J81" s="4" t="s">
        <v>73</v>
      </c>
      <c r="K81" s="4" t="s">
        <v>159</v>
      </c>
      <c r="L81" s="7">
        <v>-2699.19</v>
      </c>
      <c r="M81" s="7">
        <v>-2212.4499999999998</v>
      </c>
      <c r="N81" s="4"/>
      <c r="O81" s="4"/>
      <c r="P81" s="4" t="s">
        <v>39</v>
      </c>
    </row>
    <row r="82" spans="1:16">
      <c r="A82" s="4" t="s">
        <v>17</v>
      </c>
      <c r="B82" s="5">
        <v>42755</v>
      </c>
      <c r="C82" s="4" t="str">
        <f>"S000000048"</f>
        <v>S000000048</v>
      </c>
      <c r="D82" s="4">
        <v>60837093</v>
      </c>
      <c r="E82" s="5">
        <v>42775</v>
      </c>
      <c r="F82" s="4">
        <v>777</v>
      </c>
      <c r="G82" s="4">
        <v>7140</v>
      </c>
      <c r="H82" s="4" t="s">
        <v>72</v>
      </c>
      <c r="I82" s="4">
        <v>6832931007</v>
      </c>
      <c r="J82" s="4" t="s">
        <v>73</v>
      </c>
      <c r="K82" s="4" t="s">
        <v>158</v>
      </c>
      <c r="L82" s="7">
        <v>-5150.82</v>
      </c>
      <c r="M82" s="7">
        <v>-4221.99</v>
      </c>
      <c r="N82" s="4"/>
      <c r="O82" s="4"/>
      <c r="P82" s="4" t="s">
        <v>39</v>
      </c>
    </row>
    <row r="83" spans="1:16">
      <c r="A83" s="4" t="s">
        <v>17</v>
      </c>
      <c r="B83" s="5">
        <v>42755</v>
      </c>
      <c r="C83" s="4" t="str">
        <f>"S000000050"</f>
        <v>S000000050</v>
      </c>
      <c r="D83" s="4">
        <v>60837144</v>
      </c>
      <c r="E83" s="5">
        <v>42775</v>
      </c>
      <c r="F83" s="4">
        <v>775</v>
      </c>
      <c r="G83" s="4">
        <v>7140</v>
      </c>
      <c r="H83" s="4" t="s">
        <v>72</v>
      </c>
      <c r="I83" s="4">
        <v>6832931007</v>
      </c>
      <c r="J83" s="4" t="s">
        <v>73</v>
      </c>
      <c r="K83" s="4" t="s">
        <v>158</v>
      </c>
      <c r="L83" s="7">
        <v>-5042.58</v>
      </c>
      <c r="M83" s="7">
        <v>-4133.26</v>
      </c>
      <c r="N83" s="4"/>
      <c r="O83" s="4"/>
      <c r="P83" s="4" t="s">
        <v>39</v>
      </c>
    </row>
    <row r="84" spans="1:16">
      <c r="A84" s="4" t="s">
        <v>26</v>
      </c>
      <c r="B84" s="5">
        <v>42733</v>
      </c>
      <c r="C84" s="4" t="str">
        <f>"1/PA"</f>
        <v>1/PA</v>
      </c>
      <c r="D84" s="4">
        <v>59083765</v>
      </c>
      <c r="E84" s="5">
        <v>42747</v>
      </c>
      <c r="F84" s="4">
        <v>221</v>
      </c>
      <c r="G84" s="4">
        <v>107538</v>
      </c>
      <c r="H84" s="4" t="s">
        <v>160</v>
      </c>
      <c r="I84" s="4" t="s">
        <v>161</v>
      </c>
      <c r="J84" s="4" t="s">
        <v>162</v>
      </c>
      <c r="K84" s="4" t="s">
        <v>163</v>
      </c>
      <c r="L84" s="7">
        <v>1000</v>
      </c>
      <c r="M84" s="7">
        <v>1000</v>
      </c>
      <c r="N84" s="5">
        <v>42764</v>
      </c>
      <c r="O84" s="5">
        <v>43143</v>
      </c>
      <c r="P84" s="4" t="s">
        <v>65</v>
      </c>
    </row>
    <row r="85" spans="1:16">
      <c r="A85" s="4" t="s">
        <v>26</v>
      </c>
      <c r="B85" s="5">
        <v>42732</v>
      </c>
      <c r="C85" s="4" t="str">
        <f>"000113-2016-FE"</f>
        <v>000113-2016-FE</v>
      </c>
      <c r="D85" s="4">
        <v>58929378</v>
      </c>
      <c r="E85" s="5">
        <v>42767</v>
      </c>
      <c r="F85" s="4">
        <v>655</v>
      </c>
      <c r="G85" s="4">
        <v>106512</v>
      </c>
      <c r="H85" s="4" t="s">
        <v>164</v>
      </c>
      <c r="I85" s="4">
        <v>1693760207</v>
      </c>
      <c r="J85" s="4" t="s">
        <v>165</v>
      </c>
      <c r="K85" s="4" t="s">
        <v>166</v>
      </c>
      <c r="L85" s="7">
        <v>8531.4500000000007</v>
      </c>
      <c r="M85" s="7">
        <v>8531.4500000000007</v>
      </c>
      <c r="N85" s="5">
        <v>42766</v>
      </c>
      <c r="O85" s="5">
        <v>43143</v>
      </c>
      <c r="P85" s="4" t="s">
        <v>99</v>
      </c>
    </row>
    <row r="86" spans="1:16">
      <c r="A86" s="4" t="s">
        <v>26</v>
      </c>
      <c r="B86" s="5">
        <v>42732</v>
      </c>
      <c r="C86" s="4" t="str">
        <f>"7/A/2016"</f>
        <v>7/A/2016</v>
      </c>
      <c r="D86" s="4">
        <v>65910294</v>
      </c>
      <c r="E86" s="5">
        <v>42838</v>
      </c>
      <c r="F86" s="4">
        <v>1824</v>
      </c>
      <c r="G86" s="4">
        <v>107641</v>
      </c>
      <c r="H86" s="4" t="s">
        <v>167</v>
      </c>
      <c r="I86" s="4" t="s">
        <v>168</v>
      </c>
      <c r="J86" s="4" t="s">
        <v>169</v>
      </c>
      <c r="K86" s="4" t="s">
        <v>170</v>
      </c>
      <c r="L86" s="4">
        <v>89.85</v>
      </c>
      <c r="M86" s="4">
        <v>89.85</v>
      </c>
      <c r="N86" s="5">
        <v>42840</v>
      </c>
      <c r="O86" s="4"/>
      <c r="P86" s="4" t="s">
        <v>79</v>
      </c>
    </row>
    <row r="87" spans="1:16">
      <c r="A87" s="4" t="s">
        <v>26</v>
      </c>
      <c r="B87" s="5">
        <v>42727</v>
      </c>
      <c r="C87" s="4" t="str">
        <f>"FC-2016-0036362-0"</f>
        <v>FC-2016-0036362-0</v>
      </c>
      <c r="D87" s="4">
        <v>58949435</v>
      </c>
      <c r="E87" s="5">
        <v>42748</v>
      </c>
      <c r="F87" s="4">
        <v>6774</v>
      </c>
      <c r="G87" s="4">
        <v>107374</v>
      </c>
      <c r="H87" s="4" t="s">
        <v>171</v>
      </c>
      <c r="I87" s="4">
        <v>3246871200</v>
      </c>
      <c r="J87" s="4" t="s">
        <v>172</v>
      </c>
      <c r="K87" s="4" t="s">
        <v>173</v>
      </c>
      <c r="L87" s="4">
        <v>54.9</v>
      </c>
      <c r="M87" s="4">
        <v>54.9</v>
      </c>
      <c r="N87" s="5">
        <v>42794</v>
      </c>
      <c r="O87" s="5">
        <v>44196</v>
      </c>
      <c r="P87" s="4" t="s">
        <v>31</v>
      </c>
    </row>
    <row r="88" spans="1:16">
      <c r="A88" s="4" t="s">
        <v>26</v>
      </c>
      <c r="B88" s="5">
        <v>42724</v>
      </c>
      <c r="C88" s="4" t="str">
        <f>"655/IEG"</f>
        <v>655/IEG</v>
      </c>
      <c r="D88" s="4">
        <v>58333289</v>
      </c>
      <c r="E88" s="5">
        <v>42752</v>
      </c>
      <c r="F88" s="4">
        <v>313</v>
      </c>
      <c r="G88" s="4">
        <v>8301</v>
      </c>
      <c r="H88" s="4" t="s">
        <v>174</v>
      </c>
      <c r="I88" s="4">
        <v>2410141200</v>
      </c>
      <c r="J88" s="4" t="s">
        <v>175</v>
      </c>
      <c r="K88" s="4" t="s">
        <v>176</v>
      </c>
      <c r="L88" s="7">
        <v>3038.15</v>
      </c>
      <c r="M88" s="7">
        <v>3038.15</v>
      </c>
      <c r="N88" s="5">
        <v>42766</v>
      </c>
      <c r="O88" s="5">
        <v>43528</v>
      </c>
      <c r="P88" s="4" t="s">
        <v>25</v>
      </c>
    </row>
    <row r="89" spans="1:16">
      <c r="A89" s="4" t="s">
        <v>17</v>
      </c>
      <c r="B89" s="5">
        <v>42718</v>
      </c>
      <c r="C89" s="4" t="str">
        <f>"004701756242"</f>
        <v>004701756242</v>
      </c>
      <c r="D89" s="4">
        <v>62684121</v>
      </c>
      <c r="E89" s="5">
        <v>42793</v>
      </c>
      <c r="F89" s="4">
        <v>1178</v>
      </c>
      <c r="G89" s="4">
        <v>5536</v>
      </c>
      <c r="H89" s="4" t="s">
        <v>177</v>
      </c>
      <c r="I89" s="4">
        <v>6655971007</v>
      </c>
      <c r="J89" s="4" t="s">
        <v>178</v>
      </c>
      <c r="K89" s="4"/>
      <c r="L89" s="4">
        <v>-499.47</v>
      </c>
      <c r="M89" s="4">
        <v>-409.4</v>
      </c>
      <c r="N89" s="4"/>
      <c r="O89" s="5">
        <v>44196</v>
      </c>
      <c r="P89" s="4" t="s">
        <v>99</v>
      </c>
    </row>
    <row r="90" spans="1:16">
      <c r="A90" s="4" t="s">
        <v>26</v>
      </c>
      <c r="B90" s="5">
        <v>42718</v>
      </c>
      <c r="C90" s="4" t="str">
        <f>"18"</f>
        <v>18</v>
      </c>
      <c r="D90" s="4">
        <v>57426299</v>
      </c>
      <c r="E90" s="5">
        <v>42725</v>
      </c>
      <c r="F90" s="4">
        <v>6641</v>
      </c>
      <c r="G90" s="4">
        <v>106511</v>
      </c>
      <c r="H90" s="4" t="s">
        <v>179</v>
      </c>
      <c r="I90" s="4">
        <v>2093200356</v>
      </c>
      <c r="J90" s="4" t="s">
        <v>180</v>
      </c>
      <c r="K90" s="4" t="s">
        <v>181</v>
      </c>
      <c r="L90" s="7">
        <v>95049.69</v>
      </c>
      <c r="M90" s="7">
        <v>95049.69</v>
      </c>
      <c r="N90" s="5">
        <v>42766</v>
      </c>
      <c r="O90" s="5">
        <v>43143</v>
      </c>
      <c r="P90" s="4" t="s">
        <v>99</v>
      </c>
    </row>
    <row r="91" spans="1:16">
      <c r="A91" s="4" t="s">
        <v>17</v>
      </c>
      <c r="B91" s="5">
        <v>42706</v>
      </c>
      <c r="C91" s="4" t="str">
        <f>"004701626994"</f>
        <v>004701626994</v>
      </c>
      <c r="D91" s="4">
        <v>56511930</v>
      </c>
      <c r="E91" s="5">
        <v>42723</v>
      </c>
      <c r="F91" s="4">
        <v>6573</v>
      </c>
      <c r="G91" s="4">
        <v>5536</v>
      </c>
      <c r="H91" s="4" t="s">
        <v>177</v>
      </c>
      <c r="I91" s="4">
        <v>6655971007</v>
      </c>
      <c r="J91" s="4" t="s">
        <v>178</v>
      </c>
      <c r="K91" s="4" t="s">
        <v>182</v>
      </c>
      <c r="L91" s="4">
        <v>-72.87</v>
      </c>
      <c r="M91" s="4">
        <v>-59.73</v>
      </c>
      <c r="N91" s="4"/>
      <c r="O91" s="5">
        <v>44196</v>
      </c>
      <c r="P91" s="4" t="s">
        <v>99</v>
      </c>
    </row>
    <row r="92" spans="1:16">
      <c r="A92" s="4" t="s">
        <v>26</v>
      </c>
      <c r="B92" s="5">
        <v>42671</v>
      </c>
      <c r="C92" s="4" t="str">
        <f>"00015/02"</f>
        <v>00015/02</v>
      </c>
      <c r="D92" s="4">
        <v>53419418</v>
      </c>
      <c r="E92" s="5">
        <v>42685</v>
      </c>
      <c r="F92" s="4">
        <v>5853</v>
      </c>
      <c r="G92" s="4">
        <v>6958</v>
      </c>
      <c r="H92" s="4" t="s">
        <v>183</v>
      </c>
      <c r="I92" s="4">
        <v>80006690384</v>
      </c>
      <c r="J92" s="4" t="s">
        <v>184</v>
      </c>
      <c r="K92" s="4" t="s">
        <v>185</v>
      </c>
      <c r="L92" s="7">
        <v>1557.47</v>
      </c>
      <c r="M92" s="7">
        <v>1557.47</v>
      </c>
      <c r="N92" s="5">
        <v>42701</v>
      </c>
      <c r="O92" s="5">
        <v>43634</v>
      </c>
      <c r="P92" s="4" t="s">
        <v>25</v>
      </c>
    </row>
    <row r="93" spans="1:16">
      <c r="A93" s="4" t="s">
        <v>26</v>
      </c>
      <c r="B93" s="5">
        <v>42668</v>
      </c>
      <c r="C93" s="4" t="str">
        <f>"78"</f>
        <v>78</v>
      </c>
      <c r="D93" s="4">
        <v>53352304</v>
      </c>
      <c r="E93" s="5">
        <v>42674</v>
      </c>
      <c r="F93" s="4">
        <v>5674</v>
      </c>
      <c r="G93" s="4">
        <v>5756</v>
      </c>
      <c r="H93" s="4" t="s">
        <v>186</v>
      </c>
      <c r="I93" s="4">
        <v>1697740387</v>
      </c>
      <c r="J93" s="4" t="s">
        <v>187</v>
      </c>
      <c r="K93" s="4" t="s">
        <v>188</v>
      </c>
      <c r="L93" s="4">
        <v>683.2</v>
      </c>
      <c r="M93" s="4">
        <v>683.2</v>
      </c>
      <c r="N93" s="5">
        <v>42728</v>
      </c>
      <c r="O93" s="5">
        <v>43143</v>
      </c>
      <c r="P93" s="4" t="s">
        <v>65</v>
      </c>
    </row>
    <row r="94" spans="1:16">
      <c r="A94" s="4" t="s">
        <v>26</v>
      </c>
      <c r="B94" s="5">
        <v>42664</v>
      </c>
      <c r="C94" s="4" t="str">
        <f>"N.I. 000005544"</f>
        <v>N.I. 000005544</v>
      </c>
      <c r="D94" s="4">
        <v>0</v>
      </c>
      <c r="E94" s="5">
        <v>42664</v>
      </c>
      <c r="F94" s="4">
        <v>5544</v>
      </c>
      <c r="G94" s="4">
        <v>7059</v>
      </c>
      <c r="H94" s="4" t="s">
        <v>189</v>
      </c>
      <c r="I94" s="4">
        <v>1623130380</v>
      </c>
      <c r="J94" s="4" t="s">
        <v>190</v>
      </c>
      <c r="K94" s="4" t="s">
        <v>191</v>
      </c>
      <c r="L94" s="7">
        <v>3500</v>
      </c>
      <c r="M94" s="7">
        <v>3500</v>
      </c>
      <c r="N94" s="5">
        <v>36892</v>
      </c>
      <c r="O94" s="5">
        <v>44196</v>
      </c>
      <c r="P94" s="4"/>
    </row>
    <row r="95" spans="1:16">
      <c r="A95" s="4" t="s">
        <v>17</v>
      </c>
      <c r="B95" s="5">
        <v>42664</v>
      </c>
      <c r="C95" s="4" t="str">
        <f>"S000013698"</f>
        <v>S000013698</v>
      </c>
      <c r="D95" s="4">
        <v>53002585</v>
      </c>
      <c r="E95" s="5">
        <v>42681</v>
      </c>
      <c r="F95" s="4">
        <v>5758</v>
      </c>
      <c r="G95" s="4">
        <v>7140</v>
      </c>
      <c r="H95" s="4" t="s">
        <v>72</v>
      </c>
      <c r="I95" s="4">
        <v>6832931007</v>
      </c>
      <c r="J95" s="4" t="s">
        <v>73</v>
      </c>
      <c r="K95" s="4" t="s">
        <v>192</v>
      </c>
      <c r="L95" s="4">
        <v>-32.18</v>
      </c>
      <c r="M95" s="4">
        <v>-26.38</v>
      </c>
      <c r="N95" s="4"/>
      <c r="O95" s="4"/>
      <c r="P95" s="4" t="s">
        <v>39</v>
      </c>
    </row>
    <row r="96" spans="1:16">
      <c r="A96" s="4" t="s">
        <v>17</v>
      </c>
      <c r="B96" s="5">
        <v>42664</v>
      </c>
      <c r="C96" s="4" t="str">
        <f>"S000013699"</f>
        <v>S000013699</v>
      </c>
      <c r="D96" s="4">
        <v>53002581</v>
      </c>
      <c r="E96" s="5">
        <v>42681</v>
      </c>
      <c r="F96" s="4">
        <v>5757</v>
      </c>
      <c r="G96" s="4">
        <v>7140</v>
      </c>
      <c r="H96" s="4" t="s">
        <v>72</v>
      </c>
      <c r="I96" s="4">
        <v>6832931007</v>
      </c>
      <c r="J96" s="4" t="s">
        <v>73</v>
      </c>
      <c r="K96" s="4" t="s">
        <v>193</v>
      </c>
      <c r="L96" s="4">
        <v>-110.14</v>
      </c>
      <c r="M96" s="4">
        <v>-97.86</v>
      </c>
      <c r="N96" s="4"/>
      <c r="O96" s="4"/>
      <c r="P96" s="4" t="s">
        <v>39</v>
      </c>
    </row>
    <row r="97" spans="1:16">
      <c r="A97" s="4" t="s">
        <v>17</v>
      </c>
      <c r="B97" s="5">
        <v>42664</v>
      </c>
      <c r="C97" s="4" t="str">
        <f>"S000013702"</f>
        <v>S000013702</v>
      </c>
      <c r="D97" s="4">
        <v>53002612</v>
      </c>
      <c r="E97" s="5">
        <v>42681</v>
      </c>
      <c r="F97" s="4">
        <v>5754</v>
      </c>
      <c r="G97" s="4">
        <v>7140</v>
      </c>
      <c r="H97" s="4" t="s">
        <v>72</v>
      </c>
      <c r="I97" s="4">
        <v>6832931007</v>
      </c>
      <c r="J97" s="4" t="s">
        <v>73</v>
      </c>
      <c r="K97" s="4" t="s">
        <v>194</v>
      </c>
      <c r="L97" s="4">
        <v>-483.79</v>
      </c>
      <c r="M97" s="4">
        <v>-396.55</v>
      </c>
      <c r="N97" s="4"/>
      <c r="O97" s="4"/>
      <c r="P97" s="4" t="s">
        <v>39</v>
      </c>
    </row>
    <row r="98" spans="1:16">
      <c r="A98" s="4" t="s">
        <v>17</v>
      </c>
      <c r="B98" s="5">
        <v>42664</v>
      </c>
      <c r="C98" s="4" t="str">
        <f>"S000013703"</f>
        <v>S000013703</v>
      </c>
      <c r="D98" s="4">
        <v>53002590</v>
      </c>
      <c r="E98" s="5">
        <v>42681</v>
      </c>
      <c r="F98" s="4">
        <v>5753</v>
      </c>
      <c r="G98" s="4">
        <v>7140</v>
      </c>
      <c r="H98" s="4" t="s">
        <v>72</v>
      </c>
      <c r="I98" s="4">
        <v>6832931007</v>
      </c>
      <c r="J98" s="4" t="s">
        <v>73</v>
      </c>
      <c r="K98" s="4" t="s">
        <v>195</v>
      </c>
      <c r="L98" s="4">
        <v>-36.69</v>
      </c>
      <c r="M98" s="4">
        <v>-15.9</v>
      </c>
      <c r="N98" s="4"/>
      <c r="O98" s="4"/>
      <c r="P98" s="4" t="s">
        <v>39</v>
      </c>
    </row>
    <row r="99" spans="1:16">
      <c r="A99" s="4" t="s">
        <v>17</v>
      </c>
      <c r="B99" s="5">
        <v>42664</v>
      </c>
      <c r="C99" s="4" t="str">
        <f>"S000013704"</f>
        <v>S000013704</v>
      </c>
      <c r="D99" s="4">
        <v>53002687</v>
      </c>
      <c r="E99" s="5">
        <v>42674</v>
      </c>
      <c r="F99" s="4">
        <v>5684</v>
      </c>
      <c r="G99" s="4">
        <v>7140</v>
      </c>
      <c r="H99" s="4" t="s">
        <v>72</v>
      </c>
      <c r="I99" s="4">
        <v>6832931007</v>
      </c>
      <c r="J99" s="4" t="s">
        <v>73</v>
      </c>
      <c r="K99" s="4" t="s">
        <v>193</v>
      </c>
      <c r="L99" s="4">
        <v>-70.02</v>
      </c>
      <c r="M99" s="4">
        <v>-50</v>
      </c>
      <c r="N99" s="4"/>
      <c r="O99" s="4"/>
      <c r="P99" s="4" t="s">
        <v>39</v>
      </c>
    </row>
    <row r="100" spans="1:16">
      <c r="A100" s="4" t="s">
        <v>17</v>
      </c>
      <c r="B100" s="5">
        <v>42664</v>
      </c>
      <c r="C100" s="4" t="str">
        <f>"S000013705"</f>
        <v>S000013705</v>
      </c>
      <c r="D100" s="4">
        <v>53002652</v>
      </c>
      <c r="E100" s="5">
        <v>42674</v>
      </c>
      <c r="F100" s="4">
        <v>5683</v>
      </c>
      <c r="G100" s="4">
        <v>7140</v>
      </c>
      <c r="H100" s="4" t="s">
        <v>72</v>
      </c>
      <c r="I100" s="4">
        <v>6832931007</v>
      </c>
      <c r="J100" s="4" t="s">
        <v>73</v>
      </c>
      <c r="K100" s="4" t="s">
        <v>193</v>
      </c>
      <c r="L100" s="4">
        <v>-116.25</v>
      </c>
      <c r="M100" s="4">
        <v>-102.64</v>
      </c>
      <c r="N100" s="4"/>
      <c r="O100" s="4"/>
      <c r="P100" s="4" t="s">
        <v>39</v>
      </c>
    </row>
    <row r="101" spans="1:16">
      <c r="A101" s="4" t="s">
        <v>17</v>
      </c>
      <c r="B101" s="5">
        <v>42664</v>
      </c>
      <c r="C101" s="4" t="str">
        <f>"S000013706"</f>
        <v>S000013706</v>
      </c>
      <c r="D101" s="4">
        <v>53002684</v>
      </c>
      <c r="E101" s="5">
        <v>42674</v>
      </c>
      <c r="F101" s="4">
        <v>5668</v>
      </c>
      <c r="G101" s="4">
        <v>7140</v>
      </c>
      <c r="H101" s="4" t="s">
        <v>72</v>
      </c>
      <c r="I101" s="4">
        <v>6832931007</v>
      </c>
      <c r="J101" s="4" t="s">
        <v>73</v>
      </c>
      <c r="K101" s="4" t="s">
        <v>196</v>
      </c>
      <c r="L101" s="4">
        <v>-69.55</v>
      </c>
      <c r="M101" s="4">
        <v>-49.94</v>
      </c>
      <c r="N101" s="4"/>
      <c r="O101" s="4"/>
      <c r="P101" s="4" t="s">
        <v>39</v>
      </c>
    </row>
    <row r="102" spans="1:16">
      <c r="A102" s="4" t="s">
        <v>17</v>
      </c>
      <c r="B102" s="5">
        <v>42664</v>
      </c>
      <c r="C102" s="4" t="str">
        <f>"S000013708"</f>
        <v>S000013708</v>
      </c>
      <c r="D102" s="4">
        <v>53002685</v>
      </c>
      <c r="E102" s="5">
        <v>42669</v>
      </c>
      <c r="F102" s="4">
        <v>5590</v>
      </c>
      <c r="G102" s="4">
        <v>7140</v>
      </c>
      <c r="H102" s="4" t="s">
        <v>72</v>
      </c>
      <c r="I102" s="4">
        <v>6832931007</v>
      </c>
      <c r="J102" s="4" t="s">
        <v>73</v>
      </c>
      <c r="K102" s="4" t="s">
        <v>197</v>
      </c>
      <c r="L102" s="4">
        <v>-88.88</v>
      </c>
      <c r="M102" s="4">
        <v>-72.849999999999994</v>
      </c>
      <c r="N102" s="4"/>
      <c r="O102" s="4"/>
      <c r="P102" s="4" t="s">
        <v>39</v>
      </c>
    </row>
    <row r="103" spans="1:16">
      <c r="A103" s="4" t="s">
        <v>17</v>
      </c>
      <c r="B103" s="5">
        <v>42664</v>
      </c>
      <c r="C103" s="4" t="str">
        <f>"S000013710"</f>
        <v>S000013710</v>
      </c>
      <c r="D103" s="4">
        <v>53002668</v>
      </c>
      <c r="E103" s="5">
        <v>42669</v>
      </c>
      <c r="F103" s="4">
        <v>5589</v>
      </c>
      <c r="G103" s="4">
        <v>7140</v>
      </c>
      <c r="H103" s="4" t="s">
        <v>72</v>
      </c>
      <c r="I103" s="4">
        <v>6832931007</v>
      </c>
      <c r="J103" s="4" t="s">
        <v>73</v>
      </c>
      <c r="K103" s="4" t="s">
        <v>198</v>
      </c>
      <c r="L103" s="4">
        <v>-97.81</v>
      </c>
      <c r="M103" s="4">
        <v>-89.11</v>
      </c>
      <c r="N103" s="4"/>
      <c r="O103" s="4"/>
      <c r="P103" s="4" t="s">
        <v>39</v>
      </c>
    </row>
    <row r="104" spans="1:16">
      <c r="A104" s="4" t="s">
        <v>17</v>
      </c>
      <c r="B104" s="5">
        <v>42664</v>
      </c>
      <c r="C104" s="4" t="str">
        <f>"S000013712"</f>
        <v>S000013712</v>
      </c>
      <c r="D104" s="4">
        <v>53002688</v>
      </c>
      <c r="E104" s="5">
        <v>42669</v>
      </c>
      <c r="F104" s="4">
        <v>5588</v>
      </c>
      <c r="G104" s="4">
        <v>7140</v>
      </c>
      <c r="H104" s="4" t="s">
        <v>72</v>
      </c>
      <c r="I104" s="4">
        <v>6832931007</v>
      </c>
      <c r="J104" s="4" t="s">
        <v>73</v>
      </c>
      <c r="K104" s="4" t="s">
        <v>199</v>
      </c>
      <c r="L104" s="4">
        <v>-122.59</v>
      </c>
      <c r="M104" s="4">
        <v>-100.48</v>
      </c>
      <c r="N104" s="4"/>
      <c r="O104" s="4"/>
      <c r="P104" s="4" t="s">
        <v>39</v>
      </c>
    </row>
    <row r="105" spans="1:16">
      <c r="A105" s="4" t="s">
        <v>17</v>
      </c>
      <c r="B105" s="5">
        <v>42664</v>
      </c>
      <c r="C105" s="4" t="str">
        <f>"S000013715"</f>
        <v>S000013715</v>
      </c>
      <c r="D105" s="4">
        <v>53002713</v>
      </c>
      <c r="E105" s="5">
        <v>42669</v>
      </c>
      <c r="F105" s="4">
        <v>5587</v>
      </c>
      <c r="G105" s="4">
        <v>7140</v>
      </c>
      <c r="H105" s="4" t="s">
        <v>72</v>
      </c>
      <c r="I105" s="4">
        <v>6832931007</v>
      </c>
      <c r="J105" s="4" t="s">
        <v>73</v>
      </c>
      <c r="K105" s="4" t="s">
        <v>200</v>
      </c>
      <c r="L105" s="4">
        <v>-486.63</v>
      </c>
      <c r="M105" s="4">
        <v>-398.87</v>
      </c>
      <c r="N105" s="4"/>
      <c r="O105" s="4"/>
      <c r="P105" s="4" t="s">
        <v>39</v>
      </c>
    </row>
    <row r="106" spans="1:16">
      <c r="A106" s="4" t="s">
        <v>17</v>
      </c>
      <c r="B106" s="5">
        <v>42664</v>
      </c>
      <c r="C106" s="4" t="str">
        <f>"S000013717"</f>
        <v>S000013717</v>
      </c>
      <c r="D106" s="4">
        <v>53002565</v>
      </c>
      <c r="E106" s="5">
        <v>42669</v>
      </c>
      <c r="F106" s="4">
        <v>5586</v>
      </c>
      <c r="G106" s="4">
        <v>7140</v>
      </c>
      <c r="H106" s="4" t="s">
        <v>72</v>
      </c>
      <c r="I106" s="4">
        <v>6832931007</v>
      </c>
      <c r="J106" s="4" t="s">
        <v>73</v>
      </c>
      <c r="K106" s="4" t="s">
        <v>201</v>
      </c>
      <c r="L106" s="4">
        <v>-510.86</v>
      </c>
      <c r="M106" s="4">
        <v>-418.74</v>
      </c>
      <c r="N106" s="4"/>
      <c r="O106" s="4"/>
      <c r="P106" s="4" t="s">
        <v>39</v>
      </c>
    </row>
    <row r="107" spans="1:16">
      <c r="A107" s="4" t="s">
        <v>17</v>
      </c>
      <c r="B107" s="5">
        <v>42649</v>
      </c>
      <c r="C107" s="4" t="str">
        <f>"8H00940744"</f>
        <v>8H00940744</v>
      </c>
      <c r="D107" s="4">
        <v>52486150</v>
      </c>
      <c r="E107" s="5">
        <v>42678</v>
      </c>
      <c r="F107" s="4">
        <v>5742</v>
      </c>
      <c r="G107" s="4">
        <v>2386</v>
      </c>
      <c r="H107" s="4" t="s">
        <v>109</v>
      </c>
      <c r="I107" s="4">
        <v>488410010</v>
      </c>
      <c r="J107" s="4" t="s">
        <v>110</v>
      </c>
      <c r="K107" s="4" t="s">
        <v>202</v>
      </c>
      <c r="L107" s="4">
        <v>-40.51</v>
      </c>
      <c r="M107" s="4">
        <v>-60.81</v>
      </c>
      <c r="N107" s="4"/>
      <c r="O107" s="5">
        <v>44196</v>
      </c>
      <c r="P107" s="4" t="s">
        <v>39</v>
      </c>
    </row>
    <row r="108" spans="1:16">
      <c r="A108" s="4" t="s">
        <v>17</v>
      </c>
      <c r="B108" s="5">
        <v>42649</v>
      </c>
      <c r="C108" s="4" t="str">
        <f>"8H00943915"</f>
        <v>8H00943915</v>
      </c>
      <c r="D108" s="4">
        <v>52486171</v>
      </c>
      <c r="E108" s="5">
        <v>42678</v>
      </c>
      <c r="F108" s="4">
        <v>5737</v>
      </c>
      <c r="G108" s="4">
        <v>2386</v>
      </c>
      <c r="H108" s="4" t="s">
        <v>109</v>
      </c>
      <c r="I108" s="4">
        <v>488410010</v>
      </c>
      <c r="J108" s="4" t="s">
        <v>110</v>
      </c>
      <c r="K108" s="4" t="s">
        <v>203</v>
      </c>
      <c r="L108" s="4">
        <v>-8.67</v>
      </c>
      <c r="M108" s="4">
        <v>-7.1</v>
      </c>
      <c r="N108" s="4"/>
      <c r="O108" s="5">
        <v>44196</v>
      </c>
      <c r="P108" s="4" t="s">
        <v>39</v>
      </c>
    </row>
    <row r="109" spans="1:16">
      <c r="A109" s="4" t="s">
        <v>17</v>
      </c>
      <c r="B109" s="5">
        <v>42587</v>
      </c>
      <c r="C109" s="4" t="str">
        <f>"8H00744276"</f>
        <v>8H00744276</v>
      </c>
      <c r="D109" s="4">
        <v>47504403</v>
      </c>
      <c r="E109" s="5">
        <v>42601</v>
      </c>
      <c r="F109" s="4">
        <v>4532</v>
      </c>
      <c r="G109" s="4">
        <v>2386</v>
      </c>
      <c r="H109" s="4" t="s">
        <v>109</v>
      </c>
      <c r="I109" s="4">
        <v>488410010</v>
      </c>
      <c r="J109" s="4" t="s">
        <v>110</v>
      </c>
      <c r="K109" s="4" t="s">
        <v>204</v>
      </c>
      <c r="L109" s="4">
        <v>-144.28</v>
      </c>
      <c r="M109" s="4">
        <v>-144.28</v>
      </c>
      <c r="N109" s="4"/>
      <c r="O109" s="5">
        <v>44196</v>
      </c>
      <c r="P109" s="4" t="s">
        <v>39</v>
      </c>
    </row>
    <row r="110" spans="1:16">
      <c r="A110" s="4" t="s">
        <v>26</v>
      </c>
      <c r="B110" s="5">
        <v>42578</v>
      </c>
      <c r="C110" s="4" t="str">
        <f>"2"</f>
        <v>2</v>
      </c>
      <c r="D110" s="4">
        <v>47234435</v>
      </c>
      <c r="E110" s="5">
        <v>42604</v>
      </c>
      <c r="F110" s="4">
        <v>4542</v>
      </c>
      <c r="G110" s="4">
        <v>6294</v>
      </c>
      <c r="H110" s="4" t="s">
        <v>205</v>
      </c>
      <c r="I110" s="4">
        <v>6219980965</v>
      </c>
      <c r="J110" s="4" t="s">
        <v>206</v>
      </c>
      <c r="K110" s="4" t="s">
        <v>207</v>
      </c>
      <c r="L110" s="7">
        <v>81019.05</v>
      </c>
      <c r="M110" s="7">
        <v>81019.05</v>
      </c>
      <c r="N110" s="5">
        <v>42623</v>
      </c>
      <c r="O110" s="5">
        <v>43143</v>
      </c>
      <c r="P110" s="4" t="s">
        <v>157</v>
      </c>
    </row>
    <row r="111" spans="1:16">
      <c r="A111" s="4" t="s">
        <v>17</v>
      </c>
      <c r="B111" s="5">
        <v>42557</v>
      </c>
      <c r="C111" s="4" t="str">
        <f>"301680054960"</f>
        <v>301680054960</v>
      </c>
      <c r="D111" s="4">
        <v>44545309</v>
      </c>
      <c r="E111" s="5">
        <v>42562</v>
      </c>
      <c r="F111" s="4">
        <v>3900</v>
      </c>
      <c r="G111" s="4">
        <v>1925</v>
      </c>
      <c r="H111" s="4" t="s">
        <v>208</v>
      </c>
      <c r="I111" s="4">
        <v>488410010</v>
      </c>
      <c r="J111" s="4" t="s">
        <v>110</v>
      </c>
      <c r="K111" s="4" t="s">
        <v>209</v>
      </c>
      <c r="L111" s="4">
        <v>-24.12</v>
      </c>
      <c r="M111" s="4">
        <v>-20.13</v>
      </c>
      <c r="N111" s="4"/>
      <c r="O111" s="5">
        <v>44196</v>
      </c>
      <c r="P111" s="4" t="s">
        <v>39</v>
      </c>
    </row>
    <row r="112" spans="1:16">
      <c r="A112" s="4" t="s">
        <v>17</v>
      </c>
      <c r="B112" s="5">
        <v>42557</v>
      </c>
      <c r="C112" s="4" t="str">
        <f>"301680054963"</f>
        <v>301680054963</v>
      </c>
      <c r="D112" s="4">
        <v>44545268</v>
      </c>
      <c r="E112" s="5">
        <v>42566</v>
      </c>
      <c r="F112" s="4">
        <v>4052</v>
      </c>
      <c r="G112" s="4">
        <v>1925</v>
      </c>
      <c r="H112" s="4" t="s">
        <v>208</v>
      </c>
      <c r="I112" s="4">
        <v>488410010</v>
      </c>
      <c r="J112" s="4" t="s">
        <v>110</v>
      </c>
      <c r="K112" s="4" t="s">
        <v>210</v>
      </c>
      <c r="L112" s="4">
        <v>-43.25</v>
      </c>
      <c r="M112" s="4">
        <v>-35.81</v>
      </c>
      <c r="N112" s="4"/>
      <c r="O112" s="5">
        <v>44196</v>
      </c>
      <c r="P112" s="4" t="s">
        <v>39</v>
      </c>
    </row>
    <row r="113" spans="1:16">
      <c r="A113" s="4" t="s">
        <v>17</v>
      </c>
      <c r="B113" s="5">
        <v>42557</v>
      </c>
      <c r="C113" s="4" t="str">
        <f>"301680054964"</f>
        <v>301680054964</v>
      </c>
      <c r="D113" s="4">
        <v>44545440</v>
      </c>
      <c r="E113" s="5">
        <v>42566</v>
      </c>
      <c r="F113" s="4">
        <v>4051</v>
      </c>
      <c r="G113" s="4">
        <v>1925</v>
      </c>
      <c r="H113" s="4" t="s">
        <v>208</v>
      </c>
      <c r="I113" s="4">
        <v>488410010</v>
      </c>
      <c r="J113" s="4" t="s">
        <v>110</v>
      </c>
      <c r="K113" s="4" t="s">
        <v>211</v>
      </c>
      <c r="L113" s="4">
        <v>-42.65</v>
      </c>
      <c r="M113" s="4">
        <v>-35.32</v>
      </c>
      <c r="N113" s="4"/>
      <c r="O113" s="5">
        <v>44196</v>
      </c>
      <c r="P113" s="4" t="s">
        <v>39</v>
      </c>
    </row>
    <row r="114" spans="1:16">
      <c r="A114" s="4" t="s">
        <v>17</v>
      </c>
      <c r="B114" s="5">
        <v>42557</v>
      </c>
      <c r="C114" s="4" t="str">
        <f>"301680054966"</f>
        <v>301680054966</v>
      </c>
      <c r="D114" s="4">
        <v>44545352</v>
      </c>
      <c r="E114" s="5">
        <v>42566</v>
      </c>
      <c r="F114" s="4">
        <v>4050</v>
      </c>
      <c r="G114" s="4">
        <v>1925</v>
      </c>
      <c r="H114" s="4" t="s">
        <v>208</v>
      </c>
      <c r="I114" s="4">
        <v>488410010</v>
      </c>
      <c r="J114" s="4" t="s">
        <v>110</v>
      </c>
      <c r="K114" s="4" t="s">
        <v>212</v>
      </c>
      <c r="L114" s="4">
        <v>-41.45</v>
      </c>
      <c r="M114" s="4">
        <v>-34.340000000000003</v>
      </c>
      <c r="N114" s="4"/>
      <c r="O114" s="5">
        <v>44196</v>
      </c>
      <c r="P114" s="4" t="s">
        <v>39</v>
      </c>
    </row>
    <row r="115" spans="1:16">
      <c r="A115" s="4" t="s">
        <v>17</v>
      </c>
      <c r="B115" s="5">
        <v>42557</v>
      </c>
      <c r="C115" s="4" t="str">
        <f>"301680054969"</f>
        <v>301680054969</v>
      </c>
      <c r="D115" s="4">
        <v>44545386</v>
      </c>
      <c r="E115" s="5">
        <v>42566</v>
      </c>
      <c r="F115" s="4">
        <v>4049</v>
      </c>
      <c r="G115" s="4">
        <v>1925</v>
      </c>
      <c r="H115" s="4" t="s">
        <v>208</v>
      </c>
      <c r="I115" s="4">
        <v>488410010</v>
      </c>
      <c r="J115" s="4" t="s">
        <v>110</v>
      </c>
      <c r="K115" s="4" t="s">
        <v>213</v>
      </c>
      <c r="L115" s="4">
        <v>-17.54</v>
      </c>
      <c r="M115" s="4">
        <v>-14.74</v>
      </c>
      <c r="N115" s="4"/>
      <c r="O115" s="5">
        <v>44196</v>
      </c>
      <c r="P115" s="4" t="s">
        <v>39</v>
      </c>
    </row>
    <row r="116" spans="1:16">
      <c r="A116" s="4" t="s">
        <v>17</v>
      </c>
      <c r="B116" s="5">
        <v>42557</v>
      </c>
      <c r="C116" s="4" t="str">
        <f>"301680054971"</f>
        <v>301680054971</v>
      </c>
      <c r="D116" s="4">
        <v>44545308</v>
      </c>
      <c r="E116" s="5">
        <v>42566</v>
      </c>
      <c r="F116" s="4">
        <v>4048</v>
      </c>
      <c r="G116" s="4">
        <v>1925</v>
      </c>
      <c r="H116" s="4" t="s">
        <v>208</v>
      </c>
      <c r="I116" s="4">
        <v>488410010</v>
      </c>
      <c r="J116" s="4" t="s">
        <v>110</v>
      </c>
      <c r="K116" s="4" t="s">
        <v>214</v>
      </c>
      <c r="L116" s="4">
        <v>-23.42</v>
      </c>
      <c r="M116" s="4">
        <v>-19.559999999999999</v>
      </c>
      <c r="N116" s="4"/>
      <c r="O116" s="5">
        <v>44196</v>
      </c>
      <c r="P116" s="4" t="s">
        <v>39</v>
      </c>
    </row>
    <row r="117" spans="1:16">
      <c r="A117" s="4" t="s">
        <v>17</v>
      </c>
      <c r="B117" s="5">
        <v>42557</v>
      </c>
      <c r="C117" s="4" t="str">
        <f>"301680054974"</f>
        <v>301680054974</v>
      </c>
      <c r="D117" s="4">
        <v>44545293</v>
      </c>
      <c r="E117" s="5">
        <v>42566</v>
      </c>
      <c r="F117" s="4">
        <v>4047</v>
      </c>
      <c r="G117" s="4">
        <v>1925</v>
      </c>
      <c r="H117" s="4" t="s">
        <v>208</v>
      </c>
      <c r="I117" s="4">
        <v>488410010</v>
      </c>
      <c r="J117" s="4" t="s">
        <v>110</v>
      </c>
      <c r="K117" s="4" t="s">
        <v>215</v>
      </c>
      <c r="L117" s="4">
        <v>-33.4</v>
      </c>
      <c r="M117" s="4">
        <v>-27.74</v>
      </c>
      <c r="N117" s="4"/>
      <c r="O117" s="4"/>
      <c r="P117" s="4" t="s">
        <v>39</v>
      </c>
    </row>
    <row r="118" spans="1:16">
      <c r="A118" s="4" t="s">
        <v>17</v>
      </c>
      <c r="B118" s="5">
        <v>42556</v>
      </c>
      <c r="C118" s="4" t="str">
        <f>"3321-16"</f>
        <v>3321-16</v>
      </c>
      <c r="D118" s="4">
        <v>44265388</v>
      </c>
      <c r="E118" s="5">
        <v>42577</v>
      </c>
      <c r="F118" s="4">
        <v>4209</v>
      </c>
      <c r="G118" s="4">
        <v>8226</v>
      </c>
      <c r="H118" s="4" t="s">
        <v>216</v>
      </c>
      <c r="I118" s="4">
        <v>8376630151</v>
      </c>
      <c r="J118" s="4" t="s">
        <v>217</v>
      </c>
      <c r="K118" s="4" t="s">
        <v>218</v>
      </c>
      <c r="L118" s="4">
        <v>-303.77999999999997</v>
      </c>
      <c r="M118" s="4">
        <v>-249</v>
      </c>
      <c r="N118" s="4"/>
      <c r="O118" s="5">
        <v>44196</v>
      </c>
      <c r="P118" s="4" t="s">
        <v>219</v>
      </c>
    </row>
    <row r="119" spans="1:16">
      <c r="A119" s="4" t="s">
        <v>17</v>
      </c>
      <c r="B119" s="5">
        <v>42551</v>
      </c>
      <c r="C119" s="4" t="str">
        <f>"916 /FE"</f>
        <v>916 /FE</v>
      </c>
      <c r="D119" s="4">
        <v>47051277</v>
      </c>
      <c r="E119" s="5">
        <v>42611</v>
      </c>
      <c r="F119" s="4">
        <v>4638</v>
      </c>
      <c r="G119" s="4">
        <v>4003</v>
      </c>
      <c r="H119" s="4" t="s">
        <v>59</v>
      </c>
      <c r="I119" s="4">
        <v>463980383</v>
      </c>
      <c r="J119" s="4" t="s">
        <v>60</v>
      </c>
      <c r="K119" s="4" t="s">
        <v>220</v>
      </c>
      <c r="L119" s="7">
        <v>-1841.76</v>
      </c>
      <c r="M119" s="7">
        <v>-1841.76</v>
      </c>
      <c r="N119" s="5">
        <v>42620</v>
      </c>
      <c r="O119" s="5">
        <v>42667</v>
      </c>
      <c r="P119" s="4" t="s">
        <v>25</v>
      </c>
    </row>
    <row r="120" spans="1:16">
      <c r="A120" s="4" t="s">
        <v>26</v>
      </c>
      <c r="B120" s="5">
        <v>42536</v>
      </c>
      <c r="C120" s="4" t="str">
        <f>"CXG 2"</f>
        <v>CXG 2</v>
      </c>
      <c r="D120" s="4">
        <v>43073955</v>
      </c>
      <c r="E120" s="5">
        <v>42559</v>
      </c>
      <c r="F120" s="4">
        <v>3888</v>
      </c>
      <c r="G120" s="4">
        <v>1778</v>
      </c>
      <c r="H120" s="4" t="s">
        <v>80</v>
      </c>
      <c r="I120" s="4">
        <v>40220386</v>
      </c>
      <c r="J120" s="4" t="s">
        <v>81</v>
      </c>
      <c r="K120" s="4" t="s">
        <v>221</v>
      </c>
      <c r="L120" s="4">
        <v>16.46</v>
      </c>
      <c r="M120" s="4">
        <v>16.46</v>
      </c>
      <c r="N120" s="5">
        <v>42582</v>
      </c>
      <c r="O120" s="5">
        <v>44196</v>
      </c>
      <c r="P120" s="4" t="s">
        <v>83</v>
      </c>
    </row>
    <row r="121" spans="1:16">
      <c r="A121" s="4" t="s">
        <v>17</v>
      </c>
      <c r="B121" s="5">
        <v>42528</v>
      </c>
      <c r="C121" s="4" t="str">
        <f>"8H00543145"</f>
        <v>8H00543145</v>
      </c>
      <c r="D121" s="4">
        <v>42667715</v>
      </c>
      <c r="E121" s="5">
        <v>42550</v>
      </c>
      <c r="F121" s="4">
        <v>3714</v>
      </c>
      <c r="G121" s="4">
        <v>2386</v>
      </c>
      <c r="H121" s="4" t="s">
        <v>109</v>
      </c>
      <c r="I121" s="4">
        <v>488410010</v>
      </c>
      <c r="J121" s="4" t="s">
        <v>110</v>
      </c>
      <c r="K121" s="4" t="s">
        <v>222</v>
      </c>
      <c r="L121" s="4">
        <v>-144.28</v>
      </c>
      <c r="M121" s="4">
        <v>-144.28</v>
      </c>
      <c r="N121" s="4"/>
      <c r="O121" s="5">
        <v>44196</v>
      </c>
      <c r="P121" s="4" t="s">
        <v>39</v>
      </c>
    </row>
    <row r="122" spans="1:16">
      <c r="A122" s="4" t="s">
        <v>17</v>
      </c>
      <c r="B122" s="5">
        <v>42466</v>
      </c>
      <c r="C122" s="4" t="str">
        <f>"8H00348129"</f>
        <v>8H00348129</v>
      </c>
      <c r="D122" s="4">
        <v>37073046</v>
      </c>
      <c r="E122" s="5">
        <v>42521</v>
      </c>
      <c r="F122" s="4">
        <v>3107</v>
      </c>
      <c r="G122" s="4">
        <v>2386</v>
      </c>
      <c r="H122" s="4" t="s">
        <v>109</v>
      </c>
      <c r="I122" s="4">
        <v>488410010</v>
      </c>
      <c r="J122" s="4" t="s">
        <v>110</v>
      </c>
      <c r="K122" s="4" t="s">
        <v>223</v>
      </c>
      <c r="L122" s="4">
        <v>-144.28</v>
      </c>
      <c r="M122" s="4">
        <v>-144.28</v>
      </c>
      <c r="N122" s="4"/>
      <c r="O122" s="5">
        <v>44196</v>
      </c>
      <c r="P122" s="4" t="s">
        <v>39</v>
      </c>
    </row>
    <row r="123" spans="1:16">
      <c r="A123" s="4" t="s">
        <v>17</v>
      </c>
      <c r="B123" s="5">
        <v>42405</v>
      </c>
      <c r="C123" s="4" t="str">
        <f>"8H00128077"</f>
        <v>8H00128077</v>
      </c>
      <c r="D123" s="4">
        <v>31531398</v>
      </c>
      <c r="E123" s="5">
        <v>42425</v>
      </c>
      <c r="F123" s="4">
        <v>829</v>
      </c>
      <c r="G123" s="4">
        <v>2386</v>
      </c>
      <c r="H123" s="4" t="s">
        <v>109</v>
      </c>
      <c r="I123" s="4">
        <v>488410010</v>
      </c>
      <c r="J123" s="4" t="s">
        <v>110</v>
      </c>
      <c r="K123" s="4" t="s">
        <v>108</v>
      </c>
      <c r="L123" s="4">
        <v>-144.28</v>
      </c>
      <c r="M123" s="4">
        <v>-144.28</v>
      </c>
      <c r="N123" s="4"/>
      <c r="O123" s="5">
        <v>44196</v>
      </c>
      <c r="P123" s="4" t="s">
        <v>39</v>
      </c>
    </row>
    <row r="124" spans="1:16">
      <c r="A124" s="4" t="s">
        <v>17</v>
      </c>
      <c r="B124" s="5">
        <v>42405</v>
      </c>
      <c r="C124" s="4" t="str">
        <f>"411600882323"</f>
        <v>411600882323</v>
      </c>
      <c r="D124" s="4">
        <v>30740597</v>
      </c>
      <c r="E124" s="5">
        <v>42425</v>
      </c>
      <c r="F124" s="4">
        <v>865</v>
      </c>
      <c r="G124" s="4">
        <v>105264</v>
      </c>
      <c r="H124" s="4" t="s">
        <v>224</v>
      </c>
      <c r="I124" s="4">
        <v>2221101203</v>
      </c>
      <c r="J124" s="4" t="s">
        <v>115</v>
      </c>
      <c r="K124" s="4" t="s">
        <v>225</v>
      </c>
      <c r="L124" s="4">
        <v>-46.78</v>
      </c>
      <c r="M124" s="4">
        <v>-39.020000000000003</v>
      </c>
      <c r="N124" s="4"/>
      <c r="O124" s="5">
        <v>44196</v>
      </c>
      <c r="P124" s="4" t="s">
        <v>39</v>
      </c>
    </row>
    <row r="125" spans="1:16">
      <c r="A125" s="4" t="s">
        <v>26</v>
      </c>
      <c r="B125" s="5">
        <v>42379</v>
      </c>
      <c r="C125" s="4" t="str">
        <f>"1"</f>
        <v>1</v>
      </c>
      <c r="D125" s="4">
        <v>29179728</v>
      </c>
      <c r="E125" s="5">
        <v>42398</v>
      </c>
      <c r="F125" s="4">
        <v>407</v>
      </c>
      <c r="G125" s="4">
        <v>6294</v>
      </c>
      <c r="H125" s="4" t="s">
        <v>205</v>
      </c>
      <c r="I125" s="4">
        <v>6219980965</v>
      </c>
      <c r="J125" s="4" t="s">
        <v>206</v>
      </c>
      <c r="K125" s="4" t="s">
        <v>226</v>
      </c>
      <c r="L125" s="7">
        <v>32555.59</v>
      </c>
      <c r="M125" s="7">
        <v>32555.59</v>
      </c>
      <c r="N125" s="5">
        <v>42379</v>
      </c>
      <c r="O125" s="5">
        <v>43143</v>
      </c>
      <c r="P125" s="4" t="s">
        <v>157</v>
      </c>
    </row>
    <row r="126" spans="1:16">
      <c r="A126" s="4" t="s">
        <v>17</v>
      </c>
      <c r="B126" s="5">
        <v>42369</v>
      </c>
      <c r="C126" s="4" t="str">
        <f>"1809/D"</f>
        <v>1809/D</v>
      </c>
      <c r="D126" s="4">
        <v>28950512</v>
      </c>
      <c r="E126" s="5">
        <v>42394</v>
      </c>
      <c r="F126" s="4">
        <v>353</v>
      </c>
      <c r="G126" s="4">
        <v>4475</v>
      </c>
      <c r="H126" s="4" t="s">
        <v>124</v>
      </c>
      <c r="I126" s="4">
        <v>915090393</v>
      </c>
      <c r="J126" s="4" t="s">
        <v>125</v>
      </c>
      <c r="K126" s="4" t="s">
        <v>227</v>
      </c>
      <c r="L126" s="7">
        <v>-1431.05</v>
      </c>
      <c r="M126" s="7">
        <v>-1376.01</v>
      </c>
      <c r="N126" s="4"/>
      <c r="O126" s="5">
        <v>44196</v>
      </c>
      <c r="P126" s="4" t="s">
        <v>25</v>
      </c>
    </row>
    <row r="127" spans="1:16">
      <c r="A127" s="4" t="s">
        <v>17</v>
      </c>
      <c r="B127" s="5">
        <v>42359</v>
      </c>
      <c r="C127" s="4" t="str">
        <f>"004601399215"</f>
        <v>004601399215</v>
      </c>
      <c r="D127" s="4">
        <v>30262227</v>
      </c>
      <c r="E127" s="5">
        <v>42425</v>
      </c>
      <c r="F127" s="4">
        <v>821</v>
      </c>
      <c r="G127" s="4">
        <v>5536</v>
      </c>
      <c r="H127" s="4" t="s">
        <v>177</v>
      </c>
      <c r="I127" s="4">
        <v>6655971007</v>
      </c>
      <c r="J127" s="4" t="s">
        <v>178</v>
      </c>
      <c r="K127" s="4" t="s">
        <v>108</v>
      </c>
      <c r="L127" s="4">
        <v>-50.07</v>
      </c>
      <c r="M127" s="4">
        <v>-50.07</v>
      </c>
      <c r="N127" s="4"/>
      <c r="O127" s="5">
        <v>44196</v>
      </c>
      <c r="P127" s="4" t="s">
        <v>99</v>
      </c>
    </row>
    <row r="128" spans="1:16">
      <c r="A128" s="4" t="s">
        <v>26</v>
      </c>
      <c r="B128" s="5">
        <v>42349</v>
      </c>
      <c r="C128" s="4" t="str">
        <f>"20 E"</f>
        <v>20 E</v>
      </c>
      <c r="D128" s="4">
        <v>25858055</v>
      </c>
      <c r="E128" s="5">
        <v>42369</v>
      </c>
      <c r="F128" s="4">
        <v>6400</v>
      </c>
      <c r="G128" s="4">
        <v>8027</v>
      </c>
      <c r="H128" s="4" t="s">
        <v>154</v>
      </c>
      <c r="I128" s="4">
        <v>1904060389</v>
      </c>
      <c r="J128" s="4" t="s">
        <v>155</v>
      </c>
      <c r="K128" s="4" t="s">
        <v>228</v>
      </c>
      <c r="L128" s="7">
        <v>4802.41</v>
      </c>
      <c r="M128" s="7">
        <v>4802.41</v>
      </c>
      <c r="N128" s="5">
        <v>42379</v>
      </c>
      <c r="O128" s="5">
        <v>43143</v>
      </c>
      <c r="P128" s="4" t="s">
        <v>99</v>
      </c>
    </row>
    <row r="129" spans="1:16">
      <c r="A129" s="4" t="s">
        <v>26</v>
      </c>
      <c r="B129" s="5">
        <v>42345</v>
      </c>
      <c r="C129" s="4" t="str">
        <f>"4S109"</f>
        <v>4S109</v>
      </c>
      <c r="D129" s="4">
        <v>25692196</v>
      </c>
      <c r="E129" s="5">
        <v>42354</v>
      </c>
      <c r="F129" s="4">
        <v>6105</v>
      </c>
      <c r="G129" s="4">
        <v>495</v>
      </c>
      <c r="H129" s="4" t="s">
        <v>229</v>
      </c>
      <c r="I129" s="4">
        <v>162660369</v>
      </c>
      <c r="J129" s="4" t="s">
        <v>230</v>
      </c>
      <c r="K129" s="4" t="s">
        <v>231</v>
      </c>
      <c r="L129" s="4">
        <v>19.68</v>
      </c>
      <c r="M129" s="4">
        <v>19.68</v>
      </c>
      <c r="N129" s="5">
        <v>42435</v>
      </c>
      <c r="O129" s="4"/>
      <c r="P129" s="4" t="s">
        <v>79</v>
      </c>
    </row>
    <row r="130" spans="1:16">
      <c r="A130" s="4" t="s">
        <v>17</v>
      </c>
      <c r="B130" s="5">
        <v>42345</v>
      </c>
      <c r="C130" s="4" t="str">
        <f>"8H01240475"</f>
        <v>8H01240475</v>
      </c>
      <c r="D130" s="4">
        <v>26481603</v>
      </c>
      <c r="E130" s="5">
        <v>42369</v>
      </c>
      <c r="F130" s="4">
        <v>6338</v>
      </c>
      <c r="G130" s="4">
        <v>2386</v>
      </c>
      <c r="H130" s="4" t="s">
        <v>109</v>
      </c>
      <c r="I130" s="4">
        <v>488410010</v>
      </c>
      <c r="J130" s="4" t="s">
        <v>110</v>
      </c>
      <c r="K130" s="4" t="s">
        <v>232</v>
      </c>
      <c r="L130" s="4">
        <v>-144.28</v>
      </c>
      <c r="M130" s="4">
        <v>-144.28</v>
      </c>
      <c r="N130" s="4"/>
      <c r="O130" s="5">
        <v>44196</v>
      </c>
      <c r="P130" s="4" t="s">
        <v>39</v>
      </c>
    </row>
    <row r="131" spans="1:16">
      <c r="A131" s="4" t="s">
        <v>17</v>
      </c>
      <c r="B131" s="5">
        <v>42341</v>
      </c>
      <c r="C131" s="4" t="str">
        <f>"1920002064"</f>
        <v>1920002064</v>
      </c>
      <c r="D131" s="4">
        <v>25129100</v>
      </c>
      <c r="E131" s="5">
        <v>42354</v>
      </c>
      <c r="F131" s="4">
        <v>6119</v>
      </c>
      <c r="G131" s="4">
        <v>2462</v>
      </c>
      <c r="H131" s="4" t="s">
        <v>233</v>
      </c>
      <c r="I131" s="4">
        <v>3270040961</v>
      </c>
      <c r="J131" s="4" t="s">
        <v>234</v>
      </c>
      <c r="K131" s="4" t="s">
        <v>235</v>
      </c>
      <c r="L131" s="4">
        <v>-33.549999999999997</v>
      </c>
      <c r="M131" s="4">
        <v>-27.5</v>
      </c>
      <c r="N131" s="4"/>
      <c r="O131" s="5">
        <v>44196</v>
      </c>
      <c r="P131" s="4" t="s">
        <v>21</v>
      </c>
    </row>
    <row r="132" spans="1:16">
      <c r="A132" s="4" t="s">
        <v>26</v>
      </c>
      <c r="B132" s="5">
        <v>42333</v>
      </c>
      <c r="C132" s="4" t="str">
        <f>"004601247543"</f>
        <v>004601247543</v>
      </c>
      <c r="D132" s="4">
        <v>24101163</v>
      </c>
      <c r="E132" s="5">
        <v>42354</v>
      </c>
      <c r="F132" s="4">
        <v>6112</v>
      </c>
      <c r="G132" s="4">
        <v>5850</v>
      </c>
      <c r="H132" s="4" t="s">
        <v>236</v>
      </c>
      <c r="I132" s="4">
        <v>6655971007</v>
      </c>
      <c r="J132" s="4" t="s">
        <v>178</v>
      </c>
      <c r="K132" s="4" t="s">
        <v>237</v>
      </c>
      <c r="L132" s="4">
        <v>16.14</v>
      </c>
      <c r="M132" s="4">
        <v>15.88</v>
      </c>
      <c r="N132" s="5">
        <v>42364</v>
      </c>
      <c r="O132" s="5">
        <v>43279</v>
      </c>
      <c r="P132" s="4" t="s">
        <v>99</v>
      </c>
    </row>
    <row r="133" spans="1:16">
      <c r="A133" s="4" t="s">
        <v>26</v>
      </c>
      <c r="B133" s="5">
        <v>42304</v>
      </c>
      <c r="C133" s="4" t="str">
        <f>"0000915900003926"</f>
        <v>0000915900003926</v>
      </c>
      <c r="D133" s="4">
        <v>21425515</v>
      </c>
      <c r="E133" s="5">
        <v>42317</v>
      </c>
      <c r="F133" s="4">
        <v>5448</v>
      </c>
      <c r="G133" s="4">
        <v>2729</v>
      </c>
      <c r="H133" s="4" t="s">
        <v>238</v>
      </c>
      <c r="I133" s="4">
        <v>5779711000</v>
      </c>
      <c r="J133" s="4" t="s">
        <v>239</v>
      </c>
      <c r="K133" s="4" t="s">
        <v>240</v>
      </c>
      <c r="L133" s="4">
        <v>122</v>
      </c>
      <c r="M133" s="4">
        <v>122</v>
      </c>
      <c r="N133" s="5">
        <v>42324</v>
      </c>
      <c r="O133" s="5">
        <v>44196</v>
      </c>
      <c r="P133" s="4" t="s">
        <v>31</v>
      </c>
    </row>
    <row r="134" spans="1:16">
      <c r="A134" s="4" t="s">
        <v>26</v>
      </c>
      <c r="B134" s="5">
        <v>42304</v>
      </c>
      <c r="C134" s="4" t="str">
        <f>"0002137178"</f>
        <v>0002137178</v>
      </c>
      <c r="D134" s="4">
        <v>21920880</v>
      </c>
      <c r="E134" s="5">
        <v>42313</v>
      </c>
      <c r="F134" s="4">
        <v>5404</v>
      </c>
      <c r="G134" s="4">
        <v>3892</v>
      </c>
      <c r="H134" s="4" t="s">
        <v>241</v>
      </c>
      <c r="I134" s="4">
        <v>6188330150</v>
      </c>
      <c r="J134" s="4" t="s">
        <v>242</v>
      </c>
      <c r="K134" s="4" t="s">
        <v>243</v>
      </c>
      <c r="L134" s="4">
        <v>402.6</v>
      </c>
      <c r="M134" s="4">
        <v>402.6</v>
      </c>
      <c r="N134" s="5">
        <v>42369</v>
      </c>
      <c r="O134" s="5">
        <v>43143</v>
      </c>
      <c r="P134" s="4" t="s">
        <v>65</v>
      </c>
    </row>
    <row r="135" spans="1:16">
      <c r="A135" s="4" t="s">
        <v>26</v>
      </c>
      <c r="B135" s="5">
        <v>42304</v>
      </c>
      <c r="C135" s="4" t="str">
        <f>"7/PA"</f>
        <v>7/PA</v>
      </c>
      <c r="D135" s="4">
        <v>21406052</v>
      </c>
      <c r="E135" s="5">
        <v>42306</v>
      </c>
      <c r="F135" s="4">
        <v>5338</v>
      </c>
      <c r="G135" s="4">
        <v>8018</v>
      </c>
      <c r="H135" s="4" t="s">
        <v>244</v>
      </c>
      <c r="I135" s="4">
        <v>2073190361</v>
      </c>
      <c r="J135" s="4" t="s">
        <v>245</v>
      </c>
      <c r="K135" s="4" t="s">
        <v>246</v>
      </c>
      <c r="L135" s="4">
        <v>46.84</v>
      </c>
      <c r="M135" s="4">
        <v>46.84</v>
      </c>
      <c r="N135" s="5">
        <v>42334</v>
      </c>
      <c r="O135" s="5">
        <v>44196</v>
      </c>
      <c r="P135" s="4" t="s">
        <v>79</v>
      </c>
    </row>
    <row r="136" spans="1:16">
      <c r="A136" s="4" t="s">
        <v>26</v>
      </c>
      <c r="B136" s="5">
        <v>42300</v>
      </c>
      <c r="C136" s="4" t="str">
        <f>"2"</f>
        <v>2</v>
      </c>
      <c r="D136" s="4">
        <v>21274907</v>
      </c>
      <c r="E136" s="5">
        <v>42317</v>
      </c>
      <c r="F136" s="4">
        <v>5449</v>
      </c>
      <c r="G136" s="4">
        <v>6294</v>
      </c>
      <c r="H136" s="4" t="s">
        <v>205</v>
      </c>
      <c r="I136" s="4">
        <v>6219980965</v>
      </c>
      <c r="J136" s="4" t="s">
        <v>206</v>
      </c>
      <c r="K136" s="4" t="s">
        <v>247</v>
      </c>
      <c r="L136" s="7">
        <v>32560.41</v>
      </c>
      <c r="M136" s="7">
        <v>32560.41</v>
      </c>
      <c r="N136" s="5">
        <v>42335</v>
      </c>
      <c r="O136" s="5">
        <v>43143</v>
      </c>
      <c r="P136" s="4" t="s">
        <v>157</v>
      </c>
    </row>
    <row r="137" spans="1:16">
      <c r="A137" s="4" t="s">
        <v>17</v>
      </c>
      <c r="B137" s="5">
        <v>42283</v>
      </c>
      <c r="C137" s="4" t="str">
        <f>"8H01037958"</f>
        <v>8H01037958</v>
      </c>
      <c r="D137" s="4">
        <v>20741496</v>
      </c>
      <c r="E137" s="5">
        <v>42303</v>
      </c>
      <c r="F137" s="4">
        <v>5235</v>
      </c>
      <c r="G137" s="4">
        <v>2386</v>
      </c>
      <c r="H137" s="4" t="s">
        <v>109</v>
      </c>
      <c r="I137" s="4">
        <v>488410010</v>
      </c>
      <c r="J137" s="4" t="s">
        <v>110</v>
      </c>
      <c r="K137" s="4" t="s">
        <v>248</v>
      </c>
      <c r="L137" s="4">
        <v>-132.97999999999999</v>
      </c>
      <c r="M137" s="4">
        <v>-109</v>
      </c>
      <c r="N137" s="4"/>
      <c r="O137" s="5">
        <v>44196</v>
      </c>
      <c r="P137" s="4" t="s">
        <v>39</v>
      </c>
    </row>
    <row r="138" spans="1:16">
      <c r="A138" s="4" t="s">
        <v>17</v>
      </c>
      <c r="B138" s="5">
        <v>42283</v>
      </c>
      <c r="C138" s="4" t="str">
        <f>"8H01038096"</f>
        <v>8H01038096</v>
      </c>
      <c r="D138" s="4">
        <v>20748927</v>
      </c>
      <c r="E138" s="5">
        <v>42303</v>
      </c>
      <c r="F138" s="4">
        <v>5227</v>
      </c>
      <c r="G138" s="4">
        <v>2386</v>
      </c>
      <c r="H138" s="4" t="s">
        <v>109</v>
      </c>
      <c r="I138" s="4">
        <v>488410010</v>
      </c>
      <c r="J138" s="4" t="s">
        <v>110</v>
      </c>
      <c r="K138" s="4" t="s">
        <v>249</v>
      </c>
      <c r="L138" s="4">
        <v>-176.02</v>
      </c>
      <c r="M138" s="4">
        <v>-144.28</v>
      </c>
      <c r="N138" s="4"/>
      <c r="O138" s="5">
        <v>44196</v>
      </c>
      <c r="P138" s="4" t="s">
        <v>39</v>
      </c>
    </row>
    <row r="139" spans="1:16">
      <c r="A139" s="4" t="s">
        <v>17</v>
      </c>
      <c r="B139" s="5">
        <v>42283</v>
      </c>
      <c r="C139" s="4" t="str">
        <f>"XH00004059"</f>
        <v>XH00004059</v>
      </c>
      <c r="D139" s="4">
        <v>21110687</v>
      </c>
      <c r="E139" s="5">
        <v>42314</v>
      </c>
      <c r="F139" s="4">
        <v>5430</v>
      </c>
      <c r="G139" s="4">
        <v>2386</v>
      </c>
      <c r="H139" s="4" t="s">
        <v>109</v>
      </c>
      <c r="I139" s="4">
        <v>488410010</v>
      </c>
      <c r="J139" s="4" t="s">
        <v>110</v>
      </c>
      <c r="K139" s="4" t="s">
        <v>250</v>
      </c>
      <c r="L139" s="4">
        <v>-690.12</v>
      </c>
      <c r="M139" s="4">
        <v>-565.66999999999996</v>
      </c>
      <c r="N139" s="4"/>
      <c r="O139" s="5">
        <v>44196</v>
      </c>
      <c r="P139" s="4" t="s">
        <v>39</v>
      </c>
    </row>
    <row r="140" spans="1:16">
      <c r="A140" s="4" t="s">
        <v>17</v>
      </c>
      <c r="B140" s="5">
        <v>42283</v>
      </c>
      <c r="C140" s="4" t="str">
        <f>"XH00004092"</f>
        <v>XH00004092</v>
      </c>
      <c r="D140" s="4">
        <v>21110692</v>
      </c>
      <c r="E140" s="5">
        <v>42314</v>
      </c>
      <c r="F140" s="4">
        <v>5429</v>
      </c>
      <c r="G140" s="4">
        <v>2386</v>
      </c>
      <c r="H140" s="4" t="s">
        <v>109</v>
      </c>
      <c r="I140" s="4">
        <v>488410010</v>
      </c>
      <c r="J140" s="4" t="s">
        <v>110</v>
      </c>
      <c r="K140" s="4" t="s">
        <v>251</v>
      </c>
      <c r="L140" s="4">
        <v>-351.79</v>
      </c>
      <c r="M140" s="4">
        <v>-288.35000000000002</v>
      </c>
      <c r="N140" s="4"/>
      <c r="O140" s="5">
        <v>44196</v>
      </c>
      <c r="P140" s="4" t="s">
        <v>39</v>
      </c>
    </row>
    <row r="141" spans="1:16">
      <c r="A141" s="4" t="s">
        <v>17</v>
      </c>
      <c r="B141" s="5">
        <v>42250</v>
      </c>
      <c r="C141" s="4" t="str">
        <f>"263/PA"</f>
        <v>263/PA</v>
      </c>
      <c r="D141" s="4">
        <v>16854447</v>
      </c>
      <c r="E141" s="5">
        <v>42262</v>
      </c>
      <c r="F141" s="4">
        <v>4627</v>
      </c>
      <c r="G141" s="4">
        <v>5751</v>
      </c>
      <c r="H141" s="4" t="s">
        <v>252</v>
      </c>
      <c r="I141" s="4">
        <v>49900293</v>
      </c>
      <c r="J141" s="4" t="s">
        <v>253</v>
      </c>
      <c r="K141" s="4" t="s">
        <v>254</v>
      </c>
      <c r="L141" s="4">
        <v>-224.98</v>
      </c>
      <c r="M141" s="4">
        <v>-265.55</v>
      </c>
      <c r="N141" s="5">
        <v>42250</v>
      </c>
      <c r="O141" s="5">
        <v>43376</v>
      </c>
      <c r="P141" s="4" t="s">
        <v>79</v>
      </c>
    </row>
    <row r="142" spans="1:16">
      <c r="A142" s="4" t="s">
        <v>26</v>
      </c>
      <c r="B142" s="5">
        <v>42247</v>
      </c>
      <c r="C142" s="4" t="str">
        <f>"485 PA"</f>
        <v>485 PA</v>
      </c>
      <c r="D142" s="4">
        <v>0</v>
      </c>
      <c r="E142" s="5">
        <v>43087</v>
      </c>
      <c r="F142" s="4">
        <v>5926</v>
      </c>
      <c r="G142" s="4">
        <v>3980</v>
      </c>
      <c r="H142" s="4" t="s">
        <v>255</v>
      </c>
      <c r="I142" s="4">
        <v>2690880402</v>
      </c>
      <c r="J142" s="4" t="s">
        <v>256</v>
      </c>
      <c r="K142" s="4" t="s">
        <v>257</v>
      </c>
      <c r="L142" s="7">
        <v>1409.21</v>
      </c>
      <c r="M142" s="7">
        <v>1355.01</v>
      </c>
      <c r="N142" s="5">
        <v>42338</v>
      </c>
      <c r="O142" s="5">
        <v>43117</v>
      </c>
      <c r="P142" s="4"/>
    </row>
    <row r="143" spans="1:16">
      <c r="A143" s="4" t="s">
        <v>17</v>
      </c>
      <c r="B143" s="5">
        <v>42240</v>
      </c>
      <c r="C143" s="4" t="str">
        <f>"6/2015"</f>
        <v>6/2015</v>
      </c>
      <c r="D143" s="4">
        <v>0</v>
      </c>
      <c r="E143" s="5">
        <v>42228</v>
      </c>
      <c r="F143" s="4">
        <v>4158</v>
      </c>
      <c r="G143" s="4">
        <v>6219</v>
      </c>
      <c r="H143" s="4" t="s">
        <v>258</v>
      </c>
      <c r="I143" s="4">
        <v>80007370382</v>
      </c>
      <c r="J143" s="4" t="s">
        <v>259</v>
      </c>
      <c r="K143" s="4" t="s">
        <v>260</v>
      </c>
      <c r="L143" s="7">
        <v>5000</v>
      </c>
      <c r="M143" s="7">
        <v>5000</v>
      </c>
      <c r="N143" s="5">
        <v>42284</v>
      </c>
      <c r="O143" s="5">
        <v>43143</v>
      </c>
      <c r="P143" s="4"/>
    </row>
    <row r="144" spans="1:16">
      <c r="A144" s="4" t="s">
        <v>26</v>
      </c>
      <c r="B144" s="5">
        <v>42203</v>
      </c>
      <c r="C144" s="4" t="str">
        <f>"0000915900001637"</f>
        <v>0000915900001637</v>
      </c>
      <c r="D144" s="4">
        <v>13658921</v>
      </c>
      <c r="E144" s="5">
        <v>42222</v>
      </c>
      <c r="F144" s="4">
        <v>3971</v>
      </c>
      <c r="G144" s="4">
        <v>2729</v>
      </c>
      <c r="H144" s="4" t="s">
        <v>238</v>
      </c>
      <c r="I144" s="4">
        <v>5779711000</v>
      </c>
      <c r="J144" s="4" t="s">
        <v>239</v>
      </c>
      <c r="K144" s="4" t="s">
        <v>108</v>
      </c>
      <c r="L144" s="7">
        <v>5120.67</v>
      </c>
      <c r="M144" s="7">
        <v>5120.67</v>
      </c>
      <c r="N144" s="5">
        <v>42233</v>
      </c>
      <c r="O144" s="5">
        <v>44196</v>
      </c>
      <c r="P144" s="4" t="s">
        <v>99</v>
      </c>
    </row>
    <row r="145" spans="1:16">
      <c r="A145" s="4" t="s">
        <v>26</v>
      </c>
      <c r="B145" s="5">
        <v>42190</v>
      </c>
      <c r="C145" s="4" t="str">
        <f>"7/E-IVA"</f>
        <v>7/E-IVA</v>
      </c>
      <c r="D145" s="4">
        <v>0</v>
      </c>
      <c r="E145" s="5">
        <v>42207</v>
      </c>
      <c r="F145" s="4">
        <v>3625</v>
      </c>
      <c r="G145" s="4">
        <v>323</v>
      </c>
      <c r="H145" s="4" t="s">
        <v>261</v>
      </c>
      <c r="I145" s="4">
        <v>160590386</v>
      </c>
      <c r="J145" s="4" t="s">
        <v>262</v>
      </c>
      <c r="K145" s="4" t="s">
        <v>263</v>
      </c>
      <c r="L145" s="4">
        <v>265.45999999999998</v>
      </c>
      <c r="M145" s="4">
        <v>265.45999999999998</v>
      </c>
      <c r="N145" s="4"/>
      <c r="O145" s="5">
        <v>43143</v>
      </c>
      <c r="P145" s="4"/>
    </row>
    <row r="146" spans="1:16">
      <c r="A146" s="4" t="s">
        <v>26</v>
      </c>
      <c r="B146" s="5">
        <v>42185</v>
      </c>
      <c r="C146" s="4" t="str">
        <f>"0005962547"</f>
        <v>0005962547</v>
      </c>
      <c r="D146" s="4">
        <v>12118374</v>
      </c>
      <c r="E146" s="5">
        <v>42223</v>
      </c>
      <c r="F146" s="4">
        <v>4058</v>
      </c>
      <c r="G146" s="4">
        <v>7513</v>
      </c>
      <c r="H146" s="4" t="s">
        <v>264</v>
      </c>
      <c r="I146" s="4">
        <v>6188330150</v>
      </c>
      <c r="J146" s="4" t="s">
        <v>242</v>
      </c>
      <c r="K146" s="4" t="s">
        <v>265</v>
      </c>
      <c r="L146" s="4">
        <v>42.5</v>
      </c>
      <c r="M146" s="4">
        <v>42.5</v>
      </c>
      <c r="N146" s="5">
        <v>42246</v>
      </c>
      <c r="O146" s="5">
        <v>43143</v>
      </c>
      <c r="P146" s="4" t="s">
        <v>99</v>
      </c>
    </row>
    <row r="147" spans="1:16">
      <c r="A147" s="4" t="s">
        <v>26</v>
      </c>
      <c r="B147" s="5">
        <v>42181</v>
      </c>
      <c r="C147" s="4" t="str">
        <f>"PA20150001"</f>
        <v>PA20150001</v>
      </c>
      <c r="D147" s="4">
        <v>12324182</v>
      </c>
      <c r="E147" s="5">
        <v>42223</v>
      </c>
      <c r="F147" s="4">
        <v>4056</v>
      </c>
      <c r="G147" s="4">
        <v>106904</v>
      </c>
      <c r="H147" s="4" t="s">
        <v>266</v>
      </c>
      <c r="I147" s="4" t="s">
        <v>267</v>
      </c>
      <c r="J147" s="4" t="s">
        <v>268</v>
      </c>
      <c r="K147" s="4"/>
      <c r="L147" s="7">
        <v>1086.04</v>
      </c>
      <c r="M147" s="7">
        <v>1086.04</v>
      </c>
      <c r="N147" s="5">
        <v>42218</v>
      </c>
      <c r="O147" s="5">
        <v>43143</v>
      </c>
      <c r="P147" s="4" t="s">
        <v>31</v>
      </c>
    </row>
    <row r="148" spans="1:16">
      <c r="A148" s="4" t="s">
        <v>17</v>
      </c>
      <c r="B148" s="5">
        <v>42177</v>
      </c>
      <c r="C148" s="4" t="str">
        <f>"S000003296"</f>
        <v>S000003296</v>
      </c>
      <c r="D148" s="4">
        <v>11706114</v>
      </c>
      <c r="E148" s="5">
        <v>42208</v>
      </c>
      <c r="F148" s="4">
        <v>3663</v>
      </c>
      <c r="G148" s="4">
        <v>7140</v>
      </c>
      <c r="H148" s="4" t="s">
        <v>72</v>
      </c>
      <c r="I148" s="4">
        <v>6832931007</v>
      </c>
      <c r="J148" s="4" t="s">
        <v>73</v>
      </c>
      <c r="K148" s="4" t="s">
        <v>269</v>
      </c>
      <c r="L148" s="4">
        <v>-205.9</v>
      </c>
      <c r="M148" s="4">
        <v>-168.73</v>
      </c>
      <c r="N148" s="4"/>
      <c r="O148" s="4"/>
      <c r="P148" s="4" t="s">
        <v>39</v>
      </c>
    </row>
    <row r="149" spans="1:16">
      <c r="A149" s="4" t="s">
        <v>17</v>
      </c>
      <c r="B149" s="5">
        <v>42177</v>
      </c>
      <c r="C149" s="4" t="str">
        <f>"S000003299"</f>
        <v>S000003299</v>
      </c>
      <c r="D149" s="4">
        <v>11706116</v>
      </c>
      <c r="E149" s="5">
        <v>42208</v>
      </c>
      <c r="F149" s="4">
        <v>3660</v>
      </c>
      <c r="G149" s="4">
        <v>7140</v>
      </c>
      <c r="H149" s="4" t="s">
        <v>72</v>
      </c>
      <c r="I149" s="4">
        <v>6832931007</v>
      </c>
      <c r="J149" s="4" t="s">
        <v>73</v>
      </c>
      <c r="K149" s="4" t="s">
        <v>270</v>
      </c>
      <c r="L149" s="4">
        <v>-139.46</v>
      </c>
      <c r="M149" s="4">
        <v>-114.31</v>
      </c>
      <c r="N149" s="4"/>
      <c r="O149" s="4"/>
      <c r="P149" s="4" t="s">
        <v>39</v>
      </c>
    </row>
    <row r="150" spans="1:16">
      <c r="A150" s="4" t="s">
        <v>17</v>
      </c>
      <c r="B150" s="5">
        <v>42177</v>
      </c>
      <c r="C150" s="4" t="str">
        <f>"S000003310"</f>
        <v>S000003310</v>
      </c>
      <c r="D150" s="4">
        <v>11706128</v>
      </c>
      <c r="E150" s="5">
        <v>42208</v>
      </c>
      <c r="F150" s="4">
        <v>3650</v>
      </c>
      <c r="G150" s="4">
        <v>7140</v>
      </c>
      <c r="H150" s="4" t="s">
        <v>72</v>
      </c>
      <c r="I150" s="4">
        <v>6832931007</v>
      </c>
      <c r="J150" s="4" t="s">
        <v>73</v>
      </c>
      <c r="K150" s="4" t="s">
        <v>271</v>
      </c>
      <c r="L150" s="4">
        <v>-229.19</v>
      </c>
      <c r="M150" s="4">
        <v>-187.86</v>
      </c>
      <c r="N150" s="4"/>
      <c r="O150" s="4"/>
      <c r="P150" s="4" t="s">
        <v>39</v>
      </c>
    </row>
    <row r="151" spans="1:16">
      <c r="A151" s="4" t="s">
        <v>17</v>
      </c>
      <c r="B151" s="5">
        <v>42177</v>
      </c>
      <c r="C151" s="4" t="str">
        <f>"S000003311"</f>
        <v>S000003311</v>
      </c>
      <c r="D151" s="4">
        <v>11706451</v>
      </c>
      <c r="E151" s="5">
        <v>42208</v>
      </c>
      <c r="F151" s="4">
        <v>3649</v>
      </c>
      <c r="G151" s="4">
        <v>7140</v>
      </c>
      <c r="H151" s="4" t="s">
        <v>72</v>
      </c>
      <c r="I151" s="4">
        <v>6832931007</v>
      </c>
      <c r="J151" s="4" t="s">
        <v>73</v>
      </c>
      <c r="K151" s="4" t="s">
        <v>272</v>
      </c>
      <c r="L151" s="4">
        <v>-410.58</v>
      </c>
      <c r="M151" s="4">
        <v>-336.51</v>
      </c>
      <c r="N151" s="4"/>
      <c r="O151" s="4"/>
      <c r="P151" s="4" t="s">
        <v>39</v>
      </c>
    </row>
    <row r="152" spans="1:16">
      <c r="A152" s="4" t="s">
        <v>26</v>
      </c>
      <c r="B152" s="5">
        <v>42156</v>
      </c>
      <c r="C152" s="4" t="str">
        <f>"747/D"</f>
        <v>747/D</v>
      </c>
      <c r="D152" s="4">
        <v>11350155</v>
      </c>
      <c r="E152" s="5">
        <v>42198</v>
      </c>
      <c r="F152" s="4">
        <v>3528</v>
      </c>
      <c r="G152" s="4">
        <v>4475</v>
      </c>
      <c r="H152" s="4" t="s">
        <v>124</v>
      </c>
      <c r="I152" s="4">
        <v>915090393</v>
      </c>
      <c r="J152" s="4" t="s">
        <v>125</v>
      </c>
      <c r="K152" s="4" t="s">
        <v>273</v>
      </c>
      <c r="L152" s="4">
        <v>387.2</v>
      </c>
      <c r="M152" s="4">
        <v>387.2</v>
      </c>
      <c r="N152" s="5">
        <v>42262</v>
      </c>
      <c r="O152" s="5">
        <v>44196</v>
      </c>
      <c r="P152" s="4" t="s">
        <v>25</v>
      </c>
    </row>
    <row r="153" spans="1:16">
      <c r="A153" s="4" t="s">
        <v>17</v>
      </c>
      <c r="B153" s="5">
        <v>42132</v>
      </c>
      <c r="C153" s="4" t="str">
        <f>"111502341393"</f>
        <v>111502341393</v>
      </c>
      <c r="D153" s="4">
        <v>100731848</v>
      </c>
      <c r="E153" s="5">
        <v>43206</v>
      </c>
      <c r="F153" s="4">
        <v>1665</v>
      </c>
      <c r="G153" s="4">
        <v>5822</v>
      </c>
      <c r="H153" s="4" t="s">
        <v>114</v>
      </c>
      <c r="I153" s="4">
        <v>4245520376</v>
      </c>
      <c r="J153" s="4" t="s">
        <v>115</v>
      </c>
      <c r="K153" s="4" t="s">
        <v>274</v>
      </c>
      <c r="L153" s="4">
        <v>-228.94</v>
      </c>
      <c r="M153" s="4">
        <v>-228.94</v>
      </c>
      <c r="N153" s="4"/>
      <c r="O153" s="5">
        <v>43341</v>
      </c>
      <c r="P153" s="4" t="s">
        <v>39</v>
      </c>
    </row>
    <row r="154" spans="1:16">
      <c r="A154" s="4" t="s">
        <v>17</v>
      </c>
      <c r="B154" s="5">
        <v>42132</v>
      </c>
      <c r="C154" s="4" t="str">
        <f>"111502341394"</f>
        <v>111502341394</v>
      </c>
      <c r="D154" s="4">
        <v>100732004</v>
      </c>
      <c r="E154" s="5">
        <v>43216</v>
      </c>
      <c r="F154" s="4">
        <v>1831</v>
      </c>
      <c r="G154" s="4">
        <v>5822</v>
      </c>
      <c r="H154" s="4" t="s">
        <v>114</v>
      </c>
      <c r="I154" s="4">
        <v>4245520376</v>
      </c>
      <c r="J154" s="4" t="s">
        <v>115</v>
      </c>
      <c r="K154" s="4" t="s">
        <v>275</v>
      </c>
      <c r="L154" s="4">
        <v>-131.52000000000001</v>
      </c>
      <c r="M154" s="4">
        <v>-131.52000000000001</v>
      </c>
      <c r="N154" s="4"/>
      <c r="O154" s="5">
        <v>43216</v>
      </c>
      <c r="P154" s="4" t="s">
        <v>39</v>
      </c>
    </row>
    <row r="155" spans="1:16">
      <c r="A155" s="4" t="s">
        <v>17</v>
      </c>
      <c r="B155" s="5">
        <v>42131</v>
      </c>
      <c r="C155" s="4" t="str">
        <f>"O000000192"</f>
        <v>O000000192</v>
      </c>
      <c r="D155" s="4">
        <v>34691207</v>
      </c>
      <c r="E155" s="5">
        <v>42612</v>
      </c>
      <c r="F155" s="4">
        <v>4685</v>
      </c>
      <c r="G155" s="4">
        <v>7140</v>
      </c>
      <c r="H155" s="4" t="s">
        <v>72</v>
      </c>
      <c r="I155" s="4">
        <v>6832931007</v>
      </c>
      <c r="J155" s="4" t="s">
        <v>73</v>
      </c>
      <c r="K155" s="4"/>
      <c r="L155" s="7">
        <v>-13481.39</v>
      </c>
      <c r="M155" s="7">
        <v>-13481.39</v>
      </c>
      <c r="N155" s="4"/>
      <c r="O155" s="4"/>
      <c r="P155" s="4" t="s">
        <v>31</v>
      </c>
    </row>
    <row r="156" spans="1:16">
      <c r="A156" s="4" t="s">
        <v>26</v>
      </c>
      <c r="B156" s="5">
        <v>42125</v>
      </c>
      <c r="C156" s="4" t="str">
        <f>"594/D"</f>
        <v>594/D</v>
      </c>
      <c r="D156" s="4">
        <v>9544175</v>
      </c>
      <c r="E156" s="5">
        <v>42192</v>
      </c>
      <c r="F156" s="4">
        <v>3396</v>
      </c>
      <c r="G156" s="4">
        <v>4475</v>
      </c>
      <c r="H156" s="4" t="s">
        <v>124</v>
      </c>
      <c r="I156" s="4">
        <v>915090393</v>
      </c>
      <c r="J156" s="4" t="s">
        <v>125</v>
      </c>
      <c r="K156" s="4" t="s">
        <v>276</v>
      </c>
      <c r="L156" s="4">
        <v>337.7</v>
      </c>
      <c r="M156" s="4">
        <v>337.7</v>
      </c>
      <c r="N156" s="5">
        <v>42241</v>
      </c>
      <c r="O156" s="5">
        <v>44196</v>
      </c>
      <c r="P156" s="4" t="s">
        <v>25</v>
      </c>
    </row>
    <row r="157" spans="1:16">
      <c r="A157" s="4" t="s">
        <v>17</v>
      </c>
      <c r="B157" s="5">
        <v>42121</v>
      </c>
      <c r="C157" s="4" t="str">
        <f>"S000000823"</f>
        <v>S000000823</v>
      </c>
      <c r="D157" s="4">
        <v>0</v>
      </c>
      <c r="E157" s="5">
        <v>42138</v>
      </c>
      <c r="F157" s="4">
        <v>2446</v>
      </c>
      <c r="G157" s="4">
        <v>7140</v>
      </c>
      <c r="H157" s="4" t="s">
        <v>72</v>
      </c>
      <c r="I157" s="4">
        <v>6832931007</v>
      </c>
      <c r="J157" s="4" t="s">
        <v>73</v>
      </c>
      <c r="K157" s="4" t="s">
        <v>277</v>
      </c>
      <c r="L157" s="7">
        <v>-3945.87</v>
      </c>
      <c r="M157" s="7">
        <v>-3234.32</v>
      </c>
      <c r="N157" s="4"/>
      <c r="O157" s="4"/>
      <c r="P157" s="4"/>
    </row>
    <row r="158" spans="1:16">
      <c r="M158" s="6">
        <f>SUM(M3:M157)</f>
        <v>308304.81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EXHW079856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Pesci Silvia</dc:creator>
  <cp:lastModifiedBy>Silvia Pesci</cp:lastModifiedBy>
  <dcterms:created xsi:type="dcterms:W3CDTF">2022-05-11T08:50:53Z</dcterms:created>
  <dcterms:modified xsi:type="dcterms:W3CDTF">2022-05-11T08:50:53Z</dcterms:modified>
</cp:coreProperties>
</file>